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560" windowWidth="11355" windowHeight="7260" tabRatio="808" activeTab="2"/>
  </bookViews>
  <sheets>
    <sheet name="Notes" sheetId="2" r:id="rId1"/>
    <sheet name="Microbe Data" sheetId="18" r:id="rId2"/>
    <sheet name="Data Entry" sheetId="19" r:id="rId3"/>
    <sheet name="Fermentation" sheetId="20" r:id="rId4"/>
  </sheets>
  <calcPr calcId="144525"/>
</workbook>
</file>

<file path=xl/calcChain.xml><?xml version="1.0" encoding="utf-8"?>
<calcChain xmlns="http://schemas.openxmlformats.org/spreadsheetml/2006/main">
  <c r="G7" i="20" l="1"/>
  <c r="A42" i="19" s="1"/>
  <c r="H153" i="20" l="1"/>
  <c r="H145" i="20"/>
  <c r="H137" i="20"/>
  <c r="H150" i="20"/>
  <c r="I120" i="20"/>
  <c r="H152" i="20"/>
  <c r="H144" i="20"/>
  <c r="H136" i="20"/>
  <c r="I122" i="20"/>
  <c r="H141" i="20"/>
  <c r="H138" i="20"/>
  <c r="H151" i="20"/>
  <c r="H143" i="20"/>
  <c r="I124" i="20"/>
  <c r="G12" i="20" s="1"/>
  <c r="H142" i="20"/>
  <c r="H149" i="20"/>
  <c r="I116" i="20"/>
  <c r="I12" i="20" s="1"/>
  <c r="H148" i="20"/>
  <c r="H140" i="20"/>
  <c r="I119" i="20"/>
  <c r="H147" i="20"/>
  <c r="H139" i="20"/>
  <c r="I117" i="20"/>
  <c r="H146" i="20"/>
  <c r="W7" i="20"/>
  <c r="A43" i="19" s="1"/>
  <c r="B34" i="19"/>
  <c r="B33" i="19"/>
  <c r="E27" i="19"/>
  <c r="D27" i="19"/>
  <c r="N27" i="19" s="1"/>
  <c r="E26" i="19"/>
  <c r="D26" i="19"/>
  <c r="F25" i="19"/>
  <c r="E25" i="19"/>
  <c r="D25" i="19"/>
  <c r="N25" i="19" s="1"/>
  <c r="F24" i="19"/>
  <c r="E24" i="19"/>
  <c r="D24" i="19"/>
  <c r="G24" i="19" s="1"/>
  <c r="F23" i="19"/>
  <c r="E23" i="19"/>
  <c r="D23" i="19"/>
  <c r="G23" i="19" s="1"/>
  <c r="F22" i="19"/>
  <c r="E22" i="19"/>
  <c r="D22" i="19"/>
  <c r="G22" i="19" s="1"/>
  <c r="F21" i="19"/>
  <c r="E21" i="19"/>
  <c r="D21" i="19"/>
  <c r="N21" i="19" s="1"/>
  <c r="F20" i="19"/>
  <c r="E20" i="19"/>
  <c r="D20" i="19"/>
  <c r="H20" i="19" s="1"/>
  <c r="F19" i="19"/>
  <c r="E19" i="19"/>
  <c r="D19" i="19"/>
  <c r="J19" i="19" s="1"/>
  <c r="F18" i="19"/>
  <c r="E18" i="19"/>
  <c r="D18" i="19"/>
  <c r="J18" i="19" s="1"/>
  <c r="F17" i="19"/>
  <c r="D17" i="19"/>
  <c r="G17" i="19" s="1"/>
  <c r="F16" i="19"/>
  <c r="D16" i="19"/>
  <c r="G16" i="19" s="1"/>
  <c r="F15" i="19"/>
  <c r="E15" i="19"/>
  <c r="D15" i="19"/>
  <c r="I15" i="19" s="1"/>
  <c r="F14" i="19"/>
  <c r="E14" i="19"/>
  <c r="D14" i="19"/>
  <c r="H14" i="19" s="1"/>
  <c r="F13" i="19"/>
  <c r="E13" i="19"/>
  <c r="D13" i="19"/>
  <c r="K13" i="19" s="1"/>
  <c r="F12" i="19"/>
  <c r="E12" i="19"/>
  <c r="D12" i="19"/>
  <c r="K12" i="19" s="1"/>
  <c r="F11" i="19"/>
  <c r="E11" i="19"/>
  <c r="D11" i="19"/>
  <c r="H11" i="19" s="1"/>
  <c r="F10" i="19"/>
  <c r="E10" i="19"/>
  <c r="D10" i="19"/>
  <c r="H10" i="19" s="1"/>
  <c r="F9" i="19"/>
  <c r="E9" i="19"/>
  <c r="D9" i="19"/>
  <c r="I9" i="19" s="1"/>
  <c r="F8" i="19"/>
  <c r="E8" i="19"/>
  <c r="D8" i="19"/>
  <c r="G8" i="19" s="1"/>
  <c r="F7" i="19"/>
  <c r="D7" i="19"/>
  <c r="G7" i="19" s="1"/>
  <c r="F6" i="19"/>
  <c r="D6" i="19"/>
  <c r="G6" i="19" s="1"/>
  <c r="C34" i="19" l="1"/>
  <c r="C33" i="19"/>
  <c r="AH112" i="20"/>
  <c r="AF111" i="20"/>
  <c r="AH108" i="20"/>
  <c r="AF107" i="20"/>
  <c r="AH104" i="20"/>
  <c r="AF103" i="20"/>
  <c r="AH100" i="20"/>
  <c r="AF99" i="20"/>
  <c r="AH96" i="20"/>
  <c r="AF95" i="20"/>
  <c r="AH92" i="20"/>
  <c r="AF91" i="20"/>
  <c r="AH88" i="20"/>
  <c r="AF87" i="20"/>
  <c r="AH84" i="20"/>
  <c r="AF83" i="20"/>
  <c r="AH80" i="20"/>
  <c r="AF79" i="20"/>
  <c r="AH76" i="20"/>
  <c r="AF75" i="20"/>
  <c r="AH72" i="20"/>
  <c r="AF71" i="20"/>
  <c r="AH68" i="20"/>
  <c r="AF67" i="20"/>
  <c r="AH64" i="20"/>
  <c r="AF63" i="20"/>
  <c r="AH60" i="20"/>
  <c r="AF59" i="20"/>
  <c r="AH56" i="20"/>
  <c r="AF55" i="20"/>
  <c r="AH52" i="20"/>
  <c r="AF51" i="20"/>
  <c r="AH48" i="20"/>
  <c r="AF47" i="20"/>
  <c r="AH44" i="20"/>
  <c r="AF43" i="20"/>
  <c r="AG112" i="20"/>
  <c r="AG108" i="20"/>
  <c r="AG104" i="20"/>
  <c r="AG100" i="20"/>
  <c r="AG96" i="20"/>
  <c r="AG92" i="20"/>
  <c r="AG88" i="20"/>
  <c r="AG84" i="20"/>
  <c r="AG80" i="20"/>
  <c r="AG76" i="20"/>
  <c r="AG72" i="20"/>
  <c r="AG68" i="20"/>
  <c r="AG64" i="20"/>
  <c r="AG60" i="20"/>
  <c r="AG56" i="20"/>
  <c r="AG52" i="20"/>
  <c r="AG48" i="20"/>
  <c r="AG44" i="20"/>
  <c r="AG40" i="20"/>
  <c r="AG36" i="20"/>
  <c r="AG32" i="20"/>
  <c r="AG28" i="20"/>
  <c r="AG24" i="20"/>
  <c r="AF23" i="20"/>
  <c r="AF112" i="20"/>
  <c r="AH109" i="20"/>
  <c r="AF108" i="20"/>
  <c r="AH105" i="20"/>
  <c r="AF104" i="20"/>
  <c r="AH101" i="20"/>
  <c r="AF100" i="20"/>
  <c r="AH97" i="20"/>
  <c r="AF96" i="20"/>
  <c r="AH93" i="20"/>
  <c r="AF92" i="20"/>
  <c r="AH89" i="20"/>
  <c r="AF88" i="20"/>
  <c r="AH85" i="20"/>
  <c r="AF84" i="20"/>
  <c r="AH81" i="20"/>
  <c r="AF80" i="20"/>
  <c r="AH77" i="20"/>
  <c r="AF76" i="20"/>
  <c r="AH73" i="20"/>
  <c r="AF72" i="20"/>
  <c r="AH69" i="20"/>
  <c r="AF68" i="20"/>
  <c r="AH65" i="20"/>
  <c r="AF64" i="20"/>
  <c r="AH61" i="20"/>
  <c r="AF60" i="20"/>
  <c r="AH57" i="20"/>
  <c r="AF56" i="20"/>
  <c r="AH53" i="20"/>
  <c r="AF52" i="20"/>
  <c r="AH49" i="20"/>
  <c r="AF48" i="20"/>
  <c r="AH45" i="20"/>
  <c r="AF44" i="20"/>
  <c r="AH41" i="20"/>
  <c r="AF40" i="20"/>
  <c r="AH37" i="20"/>
  <c r="AF36" i="20"/>
  <c r="AH33" i="20"/>
  <c r="AF32" i="20"/>
  <c r="AH29" i="20"/>
  <c r="AF28" i="20"/>
  <c r="AH25" i="20"/>
  <c r="AF24" i="20"/>
  <c r="AH110" i="20"/>
  <c r="AF109" i="20"/>
  <c r="AH106" i="20"/>
  <c r="AF105" i="20"/>
  <c r="AH102" i="20"/>
  <c r="AF101" i="20"/>
  <c r="AH98" i="20"/>
  <c r="AF97" i="20"/>
  <c r="AH94" i="20"/>
  <c r="AF93" i="20"/>
  <c r="AH90" i="20"/>
  <c r="AF89" i="20"/>
  <c r="AH86" i="20"/>
  <c r="AF85" i="20"/>
  <c r="AH82" i="20"/>
  <c r="AF81" i="20"/>
  <c r="AH78" i="20"/>
  <c r="AF77" i="20"/>
  <c r="AH74" i="20"/>
  <c r="AF73" i="20"/>
  <c r="AH70" i="20"/>
  <c r="AF69" i="20"/>
  <c r="AH66" i="20"/>
  <c r="AF65" i="20"/>
  <c r="AH62" i="20"/>
  <c r="AF61" i="20"/>
  <c r="AH58" i="20"/>
  <c r="AF57" i="20"/>
  <c r="AH54" i="20"/>
  <c r="AF53" i="20"/>
  <c r="AH50" i="20"/>
  <c r="AF49" i="20"/>
  <c r="AH46" i="20"/>
  <c r="AF45" i="20"/>
  <c r="AH42" i="20"/>
  <c r="AF41" i="20"/>
  <c r="AH38" i="20"/>
  <c r="AF37" i="20"/>
  <c r="AH34" i="20"/>
  <c r="AF33" i="20"/>
  <c r="AH30" i="20"/>
  <c r="AF29" i="20"/>
  <c r="AH26" i="20"/>
  <c r="AF25" i="20"/>
  <c r="AG110" i="20"/>
  <c r="AG106" i="20"/>
  <c r="AG102" i="20"/>
  <c r="AG98" i="20"/>
  <c r="AG94" i="20"/>
  <c r="AG101" i="20"/>
  <c r="AF94" i="20"/>
  <c r="AG85" i="20"/>
  <c r="AG77" i="20"/>
  <c r="AG69" i="20"/>
  <c r="AG61" i="20"/>
  <c r="AG53" i="20"/>
  <c r="AG45" i="20"/>
  <c r="AH40" i="20"/>
  <c r="AF38" i="20"/>
  <c r="AH27" i="20"/>
  <c r="AG25" i="20"/>
  <c r="AH23" i="20"/>
  <c r="AH111" i="20"/>
  <c r="AG97" i="20"/>
  <c r="AG90" i="20"/>
  <c r="AG82" i="20"/>
  <c r="AG74" i="20"/>
  <c r="AG66" i="20"/>
  <c r="AG58" i="20"/>
  <c r="AG50" i="20"/>
  <c r="AG42" i="20"/>
  <c r="AH31" i="20"/>
  <c r="AG29" i="20"/>
  <c r="AG27" i="20"/>
  <c r="AG23" i="20"/>
  <c r="AG111" i="20"/>
  <c r="AH107" i="20"/>
  <c r="AG93" i="20"/>
  <c r="AF90" i="20"/>
  <c r="AH87" i="20"/>
  <c r="AF82" i="20"/>
  <c r="AH79" i="20"/>
  <c r="AF74" i="20"/>
  <c r="AH71" i="20"/>
  <c r="AF66" i="20"/>
  <c r="AH63" i="20"/>
  <c r="AH99" i="20"/>
  <c r="AG63" i="20"/>
  <c r="AF39" i="20"/>
  <c r="AH36" i="20"/>
  <c r="AG30" i="20"/>
  <c r="AG35" i="20"/>
  <c r="AG103" i="20"/>
  <c r="AH83" i="20"/>
  <c r="AG70" i="20"/>
  <c r="AF35" i="20"/>
  <c r="AH91" i="20"/>
  <c r="AG78" i="20"/>
  <c r="AG65" i="20"/>
  <c r="AG54" i="20"/>
  <c r="AG107" i="20"/>
  <c r="AG91" i="20"/>
  <c r="AF50" i="20"/>
  <c r="AG31" i="20"/>
  <c r="AH95" i="20"/>
  <c r="AF86" i="20"/>
  <c r="AG46" i="20"/>
  <c r="AH28" i="20"/>
  <c r="AF106" i="20"/>
  <c r="AG89" i="20"/>
  <c r="AF46" i="20"/>
  <c r="AF110" i="20"/>
  <c r="AG105" i="20"/>
  <c r="AG99" i="20"/>
  <c r="AG71" i="20"/>
  <c r="AH67" i="20"/>
  <c r="AH59" i="20"/>
  <c r="AH55" i="20"/>
  <c r="AG41" i="20"/>
  <c r="AH35" i="20"/>
  <c r="AF30" i="20"/>
  <c r="AF27" i="20"/>
  <c r="AH24" i="20"/>
  <c r="AG109" i="20"/>
  <c r="AG87" i="20"/>
  <c r="AF62" i="20"/>
  <c r="AH51" i="20"/>
  <c r="AH32" i="20"/>
  <c r="AG83" i="20"/>
  <c r="AF70" i="20"/>
  <c r="AG47" i="20"/>
  <c r="AG37" i="20"/>
  <c r="AF26" i="20"/>
  <c r="AF102" i="20"/>
  <c r="AG86" i="20"/>
  <c r="AG73" i="20"/>
  <c r="AG57" i="20"/>
  <c r="AH43" i="20"/>
  <c r="AG34" i="20"/>
  <c r="AG81" i="20"/>
  <c r="AH39" i="20"/>
  <c r="AF31" i="20"/>
  <c r="AG95" i="20"/>
  <c r="AG39" i="20"/>
  <c r="AH103" i="20"/>
  <c r="AG79" i="20"/>
  <c r="AH75" i="20"/>
  <c r="AG67" i="20"/>
  <c r="AG62" i="20"/>
  <c r="AG59" i="20"/>
  <c r="AG55" i="20"/>
  <c r="AG38" i="20"/>
  <c r="AF98" i="20"/>
  <c r="AG75" i="20"/>
  <c r="AF58" i="20"/>
  <c r="AH47" i="20"/>
  <c r="AG26" i="20"/>
  <c r="AG51" i="20"/>
  <c r="AF78" i="20"/>
  <c r="AF54" i="20"/>
  <c r="AG43" i="20"/>
  <c r="AF34" i="20"/>
  <c r="AG49" i="20"/>
  <c r="AF42" i="20"/>
  <c r="AG33" i="20"/>
  <c r="I8" i="19"/>
  <c r="H8" i="19"/>
  <c r="H23" i="19"/>
  <c r="J23" i="19"/>
  <c r="X152" i="20"/>
  <c r="X144" i="20"/>
  <c r="X136" i="20"/>
  <c r="X150" i="20"/>
  <c r="X149" i="20"/>
  <c r="Y120" i="20"/>
  <c r="X140" i="20"/>
  <c r="X151" i="20"/>
  <c r="X143" i="20"/>
  <c r="Y124" i="20"/>
  <c r="X142" i="20"/>
  <c r="Y122" i="20"/>
  <c r="X141" i="20"/>
  <c r="X148" i="20"/>
  <c r="Y119" i="20"/>
  <c r="X147" i="20"/>
  <c r="X139" i="20"/>
  <c r="Y117" i="20"/>
  <c r="X146" i="20"/>
  <c r="X138" i="20"/>
  <c r="Y116" i="20"/>
  <c r="Y12" i="20" s="1"/>
  <c r="Y13" i="20" s="1"/>
  <c r="Y14" i="20" s="1"/>
  <c r="Y15" i="20" s="1"/>
  <c r="Y16" i="20" s="1"/>
  <c r="Y17" i="20" s="1"/>
  <c r="Y18" i="20" s="1"/>
  <c r="Y19" i="20" s="1"/>
  <c r="Y20" i="20" s="1"/>
  <c r="Y21" i="20" s="1"/>
  <c r="Y22" i="20" s="1"/>
  <c r="Y23" i="20" s="1"/>
  <c r="Y24" i="20" s="1"/>
  <c r="Y25" i="20" s="1"/>
  <c r="Y26" i="20" s="1"/>
  <c r="Y27" i="20" s="1"/>
  <c r="Y28" i="20" s="1"/>
  <c r="Y29" i="20" s="1"/>
  <c r="Y30" i="20" s="1"/>
  <c r="Y31" i="20" s="1"/>
  <c r="Y32" i="20" s="1"/>
  <c r="Y33" i="20" s="1"/>
  <c r="Y34" i="20" s="1"/>
  <c r="Y35" i="20" s="1"/>
  <c r="Y36" i="20" s="1"/>
  <c r="Y37" i="20" s="1"/>
  <c r="Y38" i="20" s="1"/>
  <c r="Y39" i="20" s="1"/>
  <c r="Y40" i="20" s="1"/>
  <c r="Y41" i="20" s="1"/>
  <c r="Y42" i="20" s="1"/>
  <c r="Y43" i="20" s="1"/>
  <c r="Y44" i="20" s="1"/>
  <c r="Y45" i="20" s="1"/>
  <c r="Y46" i="20" s="1"/>
  <c r="Y47" i="20" s="1"/>
  <c r="Y48" i="20" s="1"/>
  <c r="Y49" i="20" s="1"/>
  <c r="Y50" i="20" s="1"/>
  <c r="Y51" i="20" s="1"/>
  <c r="Y52" i="20" s="1"/>
  <c r="Y53" i="20" s="1"/>
  <c r="Y54" i="20" s="1"/>
  <c r="Y55" i="20" s="1"/>
  <c r="Y56" i="20" s="1"/>
  <c r="Y57" i="20" s="1"/>
  <c r="Y58" i="20" s="1"/>
  <c r="Y59" i="20" s="1"/>
  <c r="Y60" i="20" s="1"/>
  <c r="Y61" i="20" s="1"/>
  <c r="Y62" i="20" s="1"/>
  <c r="Y63" i="20" s="1"/>
  <c r="Y64" i="20" s="1"/>
  <c r="Y65" i="20" s="1"/>
  <c r="Y66" i="20" s="1"/>
  <c r="Y67" i="20" s="1"/>
  <c r="Y68" i="20" s="1"/>
  <c r="Y69" i="20" s="1"/>
  <c r="Y70" i="20" s="1"/>
  <c r="Y71" i="20" s="1"/>
  <c r="Y72" i="20" s="1"/>
  <c r="Y73" i="20" s="1"/>
  <c r="Y74" i="20" s="1"/>
  <c r="Y75" i="20" s="1"/>
  <c r="Y76" i="20" s="1"/>
  <c r="Y77" i="20" s="1"/>
  <c r="Y78" i="20" s="1"/>
  <c r="Y79" i="20" s="1"/>
  <c r="Y80" i="20" s="1"/>
  <c r="Y81" i="20" s="1"/>
  <c r="Y82" i="20" s="1"/>
  <c r="Y83" i="20" s="1"/>
  <c r="Y84" i="20" s="1"/>
  <c r="Y85" i="20" s="1"/>
  <c r="Y86" i="20" s="1"/>
  <c r="Y87" i="20" s="1"/>
  <c r="Y88" i="20" s="1"/>
  <c r="Y89" i="20" s="1"/>
  <c r="Y90" i="20" s="1"/>
  <c r="Y91" i="20" s="1"/>
  <c r="Y92" i="20" s="1"/>
  <c r="Y93" i="20" s="1"/>
  <c r="Y94" i="20" s="1"/>
  <c r="Y95" i="20" s="1"/>
  <c r="Y96" i="20" s="1"/>
  <c r="Y97" i="20" s="1"/>
  <c r="Y98" i="20" s="1"/>
  <c r="Y99" i="20" s="1"/>
  <c r="Y100" i="20" s="1"/>
  <c r="Y101" i="20" s="1"/>
  <c r="Y102" i="20" s="1"/>
  <c r="Y103" i="20" s="1"/>
  <c r="Y104" i="20" s="1"/>
  <c r="Y105" i="20" s="1"/>
  <c r="Y106" i="20" s="1"/>
  <c r="Y107" i="20" s="1"/>
  <c r="Y108" i="20" s="1"/>
  <c r="Y109" i="20" s="1"/>
  <c r="Y110" i="20" s="1"/>
  <c r="Y111" i="20" s="1"/>
  <c r="Y112" i="20" s="1"/>
  <c r="X153" i="20"/>
  <c r="X145" i="20"/>
  <c r="X137" i="20"/>
  <c r="AH15" i="20"/>
  <c r="AH22" i="20"/>
  <c r="AH14" i="20"/>
  <c r="AH21" i="20"/>
  <c r="AH13" i="20"/>
  <c r="AH18" i="20"/>
  <c r="AH17" i="20"/>
  <c r="AH16" i="20"/>
  <c r="AH20" i="20"/>
  <c r="AH12" i="20"/>
  <c r="AH19" i="20"/>
  <c r="G11" i="19"/>
  <c r="G19" i="19"/>
  <c r="H21" i="19"/>
  <c r="N20" i="19"/>
  <c r="M27" i="19"/>
  <c r="E145" i="20"/>
  <c r="N13" i="19"/>
  <c r="G18" i="19"/>
  <c r="N18" i="19"/>
  <c r="N24" i="19"/>
  <c r="N19" i="19"/>
  <c r="J21" i="19"/>
  <c r="G25" i="19"/>
  <c r="L25" i="19"/>
  <c r="I12" i="19"/>
  <c r="N12" i="19"/>
  <c r="G20" i="19"/>
  <c r="L23" i="19"/>
  <c r="J20" i="19"/>
  <c r="N23" i="19"/>
  <c r="H19" i="19"/>
  <c r="J25" i="19"/>
  <c r="H18" i="19"/>
  <c r="H24" i="19"/>
  <c r="K14" i="19"/>
  <c r="N14" i="19"/>
  <c r="I14" i="19"/>
  <c r="G14" i="19"/>
  <c r="H12" i="19"/>
  <c r="N9" i="19"/>
  <c r="I11" i="19"/>
  <c r="G9" i="19"/>
  <c r="H9" i="19"/>
  <c r="N11" i="19"/>
  <c r="G10" i="19"/>
  <c r="I10" i="19"/>
  <c r="N10" i="19"/>
  <c r="N26" i="19"/>
  <c r="M26" i="19"/>
  <c r="E28" i="19"/>
  <c r="D12" i="20" s="1"/>
  <c r="N22" i="19"/>
  <c r="H22" i="19"/>
  <c r="L22" i="19"/>
  <c r="J22" i="19"/>
  <c r="H15" i="19"/>
  <c r="G15" i="19"/>
  <c r="N15" i="19"/>
  <c r="K15" i="19"/>
  <c r="F28" i="19"/>
  <c r="E12" i="20" s="1"/>
  <c r="J24" i="19"/>
  <c r="N8" i="19"/>
  <c r="G12" i="19"/>
  <c r="G21" i="19"/>
  <c r="L24" i="19"/>
  <c r="H25" i="19"/>
  <c r="H13" i="19"/>
  <c r="G13" i="19"/>
  <c r="I13" i="19"/>
  <c r="E136" i="20" l="1"/>
  <c r="Y133" i="20"/>
  <c r="M28" i="19"/>
  <c r="K28" i="19"/>
  <c r="J28" i="19"/>
  <c r="H28" i="19"/>
  <c r="Q36" i="19" s="1"/>
  <c r="K12" i="20"/>
  <c r="J12" i="20"/>
  <c r="G28" i="19"/>
  <c r="Q7" i="19" s="1"/>
  <c r="T22" i="19" s="1"/>
  <c r="I28" i="19"/>
  <c r="Q19" i="19" s="1"/>
  <c r="N28" i="19"/>
  <c r="F12" i="20" s="1"/>
  <c r="H12" i="20" s="1"/>
  <c r="L28" i="19"/>
  <c r="L12" i="20" l="1"/>
  <c r="T12" i="20" l="1"/>
  <c r="Z12" i="20" s="1"/>
  <c r="M12" i="20"/>
  <c r="U12" i="20" s="1"/>
  <c r="AA12" i="20" s="1"/>
  <c r="AF12" i="20"/>
  <c r="AG12" i="20"/>
  <c r="Q12" i="20" l="1"/>
  <c r="R12" i="20"/>
  <c r="O12" i="20"/>
  <c r="S12" i="20" s="1"/>
  <c r="W12" i="20" s="1"/>
  <c r="P12" i="20"/>
  <c r="N12" i="20"/>
  <c r="V12" i="20" s="1"/>
  <c r="X12" i="20" s="1"/>
  <c r="AB12" i="20" l="1"/>
  <c r="D13" i="20" l="1"/>
  <c r="J13" i="20" s="1"/>
  <c r="AC12" i="20"/>
  <c r="E13" i="20" s="1"/>
  <c r="K13" i="20" s="1"/>
  <c r="AE12" i="20" l="1"/>
  <c r="C13" i="20" s="1"/>
  <c r="G13" i="20" s="1"/>
  <c r="AD12" i="20"/>
  <c r="F13" i="20" s="1"/>
  <c r="AF15" i="20" l="1"/>
  <c r="AF16" i="20" l="1"/>
  <c r="AF17" i="20" l="1"/>
  <c r="AF18" i="20" l="1"/>
  <c r="AF19" i="20" l="1"/>
  <c r="AF20" i="20" l="1"/>
  <c r="AF22" i="20" l="1"/>
  <c r="AF13" i="20" l="1"/>
  <c r="AF14" i="20"/>
  <c r="AF21" i="20"/>
  <c r="Y131" i="20" l="1"/>
  <c r="H13" i="20"/>
  <c r="I13" i="20" l="1"/>
  <c r="L13" i="20" s="1"/>
  <c r="M13" i="20" l="1"/>
  <c r="Q13" i="20" s="1"/>
  <c r="T13" i="20"/>
  <c r="Z13" i="20" s="1"/>
  <c r="R13" i="20" l="1"/>
  <c r="P13" i="20"/>
  <c r="N13" i="20"/>
  <c r="V13" i="20" s="1"/>
  <c r="X13" i="20" s="1"/>
  <c r="U13" i="20"/>
  <c r="AA13" i="20" s="1"/>
  <c r="O13" i="20"/>
  <c r="S13" i="20" s="1"/>
  <c r="W13" i="20" s="1"/>
  <c r="AB13" i="20" l="1"/>
  <c r="D14" i="20" s="1"/>
  <c r="J14" i="20" s="1"/>
  <c r="AC13" i="20" l="1"/>
  <c r="AG13" i="20" s="1"/>
  <c r="AE13" i="20" l="1"/>
  <c r="C14" i="20" s="1"/>
  <c r="G14" i="20" s="1"/>
  <c r="AD13" i="20"/>
  <c r="F14" i="20" s="1"/>
  <c r="H14" i="20" s="1"/>
  <c r="E14" i="20"/>
  <c r="K14" i="20" s="1"/>
  <c r="I14" i="20" l="1"/>
  <c r="L14" i="20" s="1"/>
  <c r="T14" i="20" s="1"/>
  <c r="Z14" i="20" s="1"/>
  <c r="M14" i="20" l="1"/>
  <c r="O14" i="20" s="1"/>
  <c r="S14" i="20" s="1"/>
  <c r="W14" i="20" s="1"/>
  <c r="Q14" i="20" l="1"/>
  <c r="R14" i="20"/>
  <c r="N14" i="20"/>
  <c r="V14" i="20" s="1"/>
  <c r="X14" i="20" s="1"/>
  <c r="AB14" i="20" s="1"/>
  <c r="D15" i="20" s="1"/>
  <c r="J15" i="20" s="1"/>
  <c r="U14" i="20"/>
  <c r="AA14" i="20" s="1"/>
  <c r="P14" i="20"/>
  <c r="AC14" i="20" l="1"/>
  <c r="AG14" i="20" s="1"/>
  <c r="E15" i="20" l="1"/>
  <c r="K15" i="20" s="1"/>
  <c r="AE14" i="20"/>
  <c r="C15" i="20" s="1"/>
  <c r="G15" i="20" s="1"/>
  <c r="AD14" i="20"/>
  <c r="F15" i="20" s="1"/>
  <c r="H15" i="20" s="1"/>
  <c r="I15" i="20" l="1"/>
  <c r="L15" i="20" s="1"/>
  <c r="T15" i="20" s="1"/>
  <c r="Z15" i="20" s="1"/>
  <c r="M15" i="20" l="1"/>
  <c r="Q15" i="20" s="1"/>
  <c r="AG15" i="20"/>
  <c r="R15" i="20" l="1"/>
  <c r="O15" i="20"/>
  <c r="S15" i="20" s="1"/>
  <c r="W15" i="20" s="1"/>
  <c r="U15" i="20"/>
  <c r="AA15" i="20" s="1"/>
  <c r="N15" i="20"/>
  <c r="V15" i="20" s="1"/>
  <c r="X15" i="20" s="1"/>
  <c r="P15" i="20"/>
  <c r="AB15" i="20" l="1"/>
  <c r="D16" i="20" s="1"/>
  <c r="J16" i="20" s="1"/>
  <c r="AC15" i="20" l="1"/>
  <c r="AE15" i="20" s="1"/>
  <c r="C16" i="20" s="1"/>
  <c r="G16" i="20" s="1"/>
  <c r="AD15" i="20" l="1"/>
  <c r="F16" i="20" s="1"/>
  <c r="H16" i="20" s="1"/>
  <c r="I16" i="20" s="1"/>
  <c r="L16" i="20" s="1"/>
  <c r="T16" i="20" s="1"/>
  <c r="Z16" i="20" s="1"/>
  <c r="E16" i="20"/>
  <c r="K16" i="20" s="1"/>
  <c r="M16" i="20" l="1"/>
  <c r="Q16" i="20" s="1"/>
  <c r="AG16" i="20"/>
  <c r="R16" i="20" l="1"/>
  <c r="P16" i="20"/>
  <c r="U16" i="20"/>
  <c r="AA16" i="20" s="1"/>
  <c r="N16" i="20"/>
  <c r="V16" i="20" s="1"/>
  <c r="X16" i="20" s="1"/>
  <c r="O16" i="20"/>
  <c r="S16" i="20" s="1"/>
  <c r="W16" i="20" s="1"/>
  <c r="AB16" i="20" l="1"/>
  <c r="D17" i="20" s="1"/>
  <c r="J17" i="20" s="1"/>
  <c r="AC16" i="20" l="1"/>
  <c r="AE16" i="20" s="1"/>
  <c r="C17" i="20" s="1"/>
  <c r="G17" i="20" s="1"/>
  <c r="AD16" i="20" l="1"/>
  <c r="F17" i="20" s="1"/>
  <c r="H17" i="20" s="1"/>
  <c r="I17" i="20" s="1"/>
  <c r="L17" i="20" s="1"/>
  <c r="T17" i="20" s="1"/>
  <c r="Z17" i="20" s="1"/>
  <c r="E17" i="20"/>
  <c r="K17" i="20" s="1"/>
  <c r="M17" i="20" l="1"/>
  <c r="Q17" i="20" s="1"/>
  <c r="AG17" i="20"/>
  <c r="R17" i="20" l="1"/>
  <c r="P17" i="20"/>
  <c r="U17" i="20"/>
  <c r="AA17" i="20" s="1"/>
  <c r="N17" i="20"/>
  <c r="V17" i="20" s="1"/>
  <c r="X17" i="20" s="1"/>
  <c r="O17" i="20"/>
  <c r="S17" i="20" s="1"/>
  <c r="W17" i="20" s="1"/>
  <c r="AB17" i="20" l="1"/>
  <c r="D18" i="20" s="1"/>
  <c r="J18" i="20" s="1"/>
  <c r="AC17" i="20" l="1"/>
  <c r="AD17" i="20" s="1"/>
  <c r="F18" i="20" s="1"/>
  <c r="H18" i="20" s="1"/>
  <c r="AE17" i="20" l="1"/>
  <c r="C18" i="20" s="1"/>
  <c r="G18" i="20" s="1"/>
  <c r="I18" i="20" s="1"/>
  <c r="L18" i="20" s="1"/>
  <c r="T18" i="20" s="1"/>
  <c r="Z18" i="20" s="1"/>
  <c r="E18" i="20"/>
  <c r="K18" i="20" s="1"/>
  <c r="M18" i="20" l="1"/>
  <c r="O18" i="20" s="1"/>
  <c r="S18" i="20" s="1"/>
  <c r="W18" i="20" s="1"/>
  <c r="AG18" i="20"/>
  <c r="Q18" i="20" l="1"/>
  <c r="R18" i="20"/>
  <c r="P18" i="20"/>
  <c r="U18" i="20"/>
  <c r="AA18" i="20" s="1"/>
  <c r="N18" i="20"/>
  <c r="V18" i="20" s="1"/>
  <c r="X18" i="20" s="1"/>
  <c r="AB18" i="20" s="1"/>
  <c r="D19" i="20" s="1"/>
  <c r="J19" i="20" s="1"/>
  <c r="AC18" i="20" l="1"/>
  <c r="E19" i="20" s="1"/>
  <c r="K19" i="20" s="1"/>
  <c r="AE18" i="20" l="1"/>
  <c r="C19" i="20" s="1"/>
  <c r="G19" i="20" s="1"/>
  <c r="AD18" i="20"/>
  <c r="F19" i="20" s="1"/>
  <c r="H19" i="20" s="1"/>
  <c r="I19" i="20" l="1"/>
  <c r="L19" i="20" s="1"/>
  <c r="M19" i="20" s="1"/>
  <c r="Q19" i="20" s="1"/>
  <c r="T19" i="20" l="1"/>
  <c r="Z19" i="20" s="1"/>
  <c r="P19" i="20"/>
  <c r="R19" i="20"/>
  <c r="O19" i="20"/>
  <c r="S19" i="20" s="1"/>
  <c r="W19" i="20" s="1"/>
  <c r="N19" i="20"/>
  <c r="V19" i="20" s="1"/>
  <c r="X19" i="20" s="1"/>
  <c r="U19" i="20"/>
  <c r="AA19" i="20" s="1"/>
  <c r="AB19" i="20" l="1"/>
  <c r="D20" i="20" s="1"/>
  <c r="J20" i="20" s="1"/>
  <c r="AG19" i="20"/>
  <c r="AC19" i="20" l="1"/>
  <c r="AE19" i="20" s="1"/>
  <c r="C20" i="20" s="1"/>
  <c r="G20" i="20" s="1"/>
  <c r="AD19" i="20" l="1"/>
  <c r="F20" i="20" s="1"/>
  <c r="H20" i="20" s="1"/>
  <c r="E20" i="20"/>
  <c r="K20" i="20" s="1"/>
  <c r="I20" i="20" l="1"/>
  <c r="L20" i="20" s="1"/>
  <c r="T20" i="20" s="1"/>
  <c r="Z20" i="20" s="1"/>
  <c r="M20" i="20" l="1"/>
  <c r="N20" i="20" s="1"/>
  <c r="V20" i="20" s="1"/>
  <c r="X20" i="20" s="1"/>
  <c r="Q20" i="20" l="1"/>
  <c r="R20" i="20"/>
  <c r="P20" i="20"/>
  <c r="O20" i="20"/>
  <c r="S20" i="20" s="1"/>
  <c r="W20" i="20" s="1"/>
  <c r="AB20" i="20" s="1"/>
  <c r="D21" i="20" s="1"/>
  <c r="J21" i="20" s="1"/>
  <c r="U20" i="20"/>
  <c r="AA20" i="20" s="1"/>
  <c r="AC20" i="20" l="1"/>
  <c r="AG20" i="20" s="1"/>
  <c r="AE20" i="20" l="1"/>
  <c r="C21" i="20" s="1"/>
  <c r="G21" i="20" s="1"/>
  <c r="AD20" i="20"/>
  <c r="F21" i="20" s="1"/>
  <c r="H21" i="20" s="1"/>
  <c r="E21" i="20"/>
  <c r="K21" i="20" s="1"/>
  <c r="I21" i="20" l="1"/>
  <c r="L21" i="20" s="1"/>
  <c r="T21" i="20" s="1"/>
  <c r="Z21" i="20" s="1"/>
  <c r="M21" i="20" l="1"/>
  <c r="Q21" i="20" s="1"/>
  <c r="AG21" i="20"/>
  <c r="R21" i="20" l="1"/>
  <c r="O21" i="20"/>
  <c r="S21" i="20" s="1"/>
  <c r="W21" i="20" s="1"/>
  <c r="P21" i="20"/>
  <c r="N21" i="20"/>
  <c r="V21" i="20" s="1"/>
  <c r="X21" i="20" s="1"/>
  <c r="U21" i="20"/>
  <c r="AA21" i="20" s="1"/>
  <c r="AB21" i="20" l="1"/>
  <c r="D22" i="20" s="1"/>
  <c r="J22" i="20" s="1"/>
  <c r="AC21" i="20" l="1"/>
  <c r="AD21" i="20" s="1"/>
  <c r="F22" i="20" s="1"/>
  <c r="H22" i="20" s="1"/>
  <c r="AE21" i="20" l="1"/>
  <c r="C22" i="20" s="1"/>
  <c r="G22" i="20" s="1"/>
  <c r="I22" i="20" s="1"/>
  <c r="L22" i="20" s="1"/>
  <c r="T22" i="20" s="1"/>
  <c r="Z22" i="20" s="1"/>
  <c r="E22" i="20"/>
  <c r="K22" i="20" s="1"/>
  <c r="M22" i="20" l="1"/>
  <c r="Q22" i="20" s="1"/>
  <c r="R22" i="20" l="1"/>
  <c r="P22" i="20"/>
  <c r="O22" i="20"/>
  <c r="S22" i="20" s="1"/>
  <c r="W22" i="20" s="1"/>
  <c r="U22" i="20"/>
  <c r="AA22" i="20" s="1"/>
  <c r="N22" i="20"/>
  <c r="V22" i="20" s="1"/>
  <c r="X22" i="20" s="1"/>
  <c r="AB22" i="20" l="1"/>
  <c r="D23" i="20" s="1"/>
  <c r="J23" i="20" s="1"/>
  <c r="AG22" i="20"/>
  <c r="AC22" i="20" l="1"/>
  <c r="AD22" i="20" s="1"/>
  <c r="F23" i="20" s="1"/>
  <c r="H23" i="20" s="1"/>
  <c r="E23" i="20" l="1"/>
  <c r="K23" i="20" s="1"/>
  <c r="AE22" i="20"/>
  <c r="C23" i="20" s="1"/>
  <c r="G23" i="20" s="1"/>
  <c r="I23" i="20" l="1"/>
  <c r="L23" i="20" s="1"/>
  <c r="T23" i="20" l="1"/>
  <c r="Z23" i="20" s="1"/>
  <c r="M23" i="20"/>
  <c r="U23" i="20" s="1"/>
  <c r="AA23" i="20" s="1"/>
  <c r="Q23" i="20" l="1"/>
  <c r="R23" i="20"/>
  <c r="P23" i="20"/>
  <c r="N23" i="20"/>
  <c r="V23" i="20" s="1"/>
  <c r="X23" i="20" s="1"/>
  <c r="O23" i="20"/>
  <c r="S23" i="20" s="1"/>
  <c r="W23" i="20" s="1"/>
  <c r="AB23" i="20" l="1"/>
  <c r="AC23" i="20" s="1"/>
  <c r="E24" i="20" s="1"/>
  <c r="K24" i="20" s="1"/>
  <c r="AE23" i="20" l="1"/>
  <c r="C24" i="20" s="1"/>
  <c r="G24" i="20" s="1"/>
  <c r="AD23" i="20"/>
  <c r="F24" i="20" s="1"/>
  <c r="H24" i="20" s="1"/>
  <c r="D24" i="20"/>
  <c r="J24" i="20" s="1"/>
  <c r="I24" i="20" l="1"/>
  <c r="L24" i="20" s="1"/>
  <c r="T24" i="20" l="1"/>
  <c r="M24" i="20"/>
  <c r="U24" i="20" s="1"/>
  <c r="AA24" i="20" s="1"/>
  <c r="Q24" i="20" l="1"/>
  <c r="R24" i="20"/>
  <c r="O24" i="20"/>
  <c r="Z24" i="20"/>
  <c r="N24" i="20"/>
  <c r="V24" i="20" s="1"/>
  <c r="X24" i="20" s="1"/>
  <c r="P24" i="20"/>
  <c r="S24" i="20" l="1"/>
  <c r="W24" i="20" s="1"/>
  <c r="AB24" i="20" s="1"/>
  <c r="AC24" i="20" l="1"/>
  <c r="E25" i="20" s="1"/>
  <c r="K25" i="20" s="1"/>
  <c r="D25" i="20"/>
  <c r="AE24" i="20" l="1"/>
  <c r="C25" i="20" s="1"/>
  <c r="G25" i="20" s="1"/>
  <c r="AD24" i="20"/>
  <c r="F25" i="20" s="1"/>
  <c r="H25" i="20" s="1"/>
  <c r="J25" i="20"/>
  <c r="I25" i="20" l="1"/>
  <c r="L25" i="20" s="1"/>
  <c r="M25" i="20" l="1"/>
  <c r="U25" i="20" s="1"/>
  <c r="AA25" i="20" s="1"/>
  <c r="T25" i="20"/>
  <c r="P25" i="20" l="1"/>
  <c r="Q25" i="20"/>
  <c r="O25" i="20"/>
  <c r="S25" i="20" s="1"/>
  <c r="W25" i="20" s="1"/>
  <c r="N25" i="20"/>
  <c r="V25" i="20" s="1"/>
  <c r="X25" i="20" s="1"/>
  <c r="R25" i="20"/>
  <c r="Z25" i="20"/>
  <c r="AB25" i="20" l="1"/>
  <c r="D26" i="20" s="1"/>
  <c r="AC25" i="20" l="1"/>
  <c r="E26" i="20" s="1"/>
  <c r="K26" i="20" s="1"/>
  <c r="J26" i="20"/>
  <c r="AD25" i="20" l="1"/>
  <c r="F26" i="20" s="1"/>
  <c r="H26" i="20" s="1"/>
  <c r="AE25" i="20"/>
  <c r="C26" i="20" s="1"/>
  <c r="G26" i="20" s="1"/>
  <c r="I26" i="20" l="1"/>
  <c r="L26" i="20" s="1"/>
  <c r="M26" i="20" l="1"/>
  <c r="U26" i="20" s="1"/>
  <c r="AA26" i="20" s="1"/>
  <c r="T26" i="20"/>
  <c r="Q26" i="20" l="1"/>
  <c r="R26" i="20"/>
  <c r="O26" i="20"/>
  <c r="S26" i="20" s="1"/>
  <c r="W26" i="20" s="1"/>
  <c r="P26" i="20"/>
  <c r="N26" i="20"/>
  <c r="V26" i="20" s="1"/>
  <c r="X26" i="20" s="1"/>
  <c r="Z26" i="20"/>
  <c r="AB26" i="20" l="1"/>
  <c r="D27" i="20" s="1"/>
  <c r="AC26" i="20" l="1"/>
  <c r="E27" i="20" s="1"/>
  <c r="K27" i="20" s="1"/>
  <c r="J27" i="20"/>
  <c r="AE26" i="20" l="1"/>
  <c r="C27" i="20" s="1"/>
  <c r="G27" i="20" s="1"/>
  <c r="AD26" i="20"/>
  <c r="F27" i="20" s="1"/>
  <c r="H27" i="20" s="1"/>
  <c r="I27" i="20" l="1"/>
  <c r="L27" i="20" s="1"/>
  <c r="T27" i="20" l="1"/>
  <c r="M27" i="20"/>
  <c r="U27" i="20" s="1"/>
  <c r="AA27" i="20" s="1"/>
  <c r="Q27" i="20" l="1"/>
  <c r="R27" i="20"/>
  <c r="O27" i="20"/>
  <c r="P27" i="20"/>
  <c r="Z27" i="20"/>
  <c r="N27" i="20"/>
  <c r="V27" i="20" s="1"/>
  <c r="X27" i="20" s="1"/>
  <c r="S27" i="20" l="1"/>
  <c r="W27" i="20" s="1"/>
  <c r="AB27" i="20" s="1"/>
  <c r="AC27" i="20" s="1"/>
  <c r="E28" i="20" s="1"/>
  <c r="K28" i="20" s="1"/>
  <c r="AE27" i="20" l="1"/>
  <c r="C28" i="20" s="1"/>
  <c r="AD27" i="20"/>
  <c r="F28" i="20" s="1"/>
  <c r="H28" i="20" s="1"/>
  <c r="D28" i="20"/>
  <c r="J28" i="20" l="1"/>
  <c r="G28" i="20"/>
  <c r="I28" i="20" s="1"/>
  <c r="L28" i="20" l="1"/>
  <c r="M28" i="20" l="1"/>
  <c r="U28" i="20" s="1"/>
  <c r="AA28" i="20" s="1"/>
  <c r="T28" i="20"/>
  <c r="P28" i="20" l="1"/>
  <c r="Q28" i="20"/>
  <c r="O28" i="20"/>
  <c r="S28" i="20" s="1"/>
  <c r="W28" i="20" s="1"/>
  <c r="N28" i="20"/>
  <c r="V28" i="20" s="1"/>
  <c r="X28" i="20" s="1"/>
  <c r="R28" i="20"/>
  <c r="Z28" i="20"/>
  <c r="AB28" i="20" l="1"/>
  <c r="AC28" i="20" s="1"/>
  <c r="E29" i="20" s="1"/>
  <c r="K29" i="20" s="1"/>
  <c r="D29" i="20" l="1"/>
  <c r="J29" i="20" s="1"/>
  <c r="AE28" i="20"/>
  <c r="C29" i="20" s="1"/>
  <c r="G29" i="20" s="1"/>
  <c r="AD28" i="20"/>
  <c r="F29" i="20" s="1"/>
  <c r="H29" i="20" s="1"/>
  <c r="I29" i="20" l="1"/>
  <c r="L29" i="20" s="1"/>
  <c r="T29" i="20" l="1"/>
  <c r="M29" i="20"/>
  <c r="U29" i="20" s="1"/>
  <c r="AA29" i="20" s="1"/>
  <c r="Q29" i="20" l="1"/>
  <c r="R29" i="20"/>
  <c r="O29" i="20"/>
  <c r="S29" i="20" s="1"/>
  <c r="W29" i="20" s="1"/>
  <c r="P29" i="20"/>
  <c r="Z29" i="20"/>
  <c r="N29" i="20"/>
  <c r="V29" i="20" s="1"/>
  <c r="X29" i="20" s="1"/>
  <c r="AB29" i="20" l="1"/>
  <c r="AC29" i="20" s="1"/>
  <c r="E30" i="20" s="1"/>
  <c r="K30" i="20" s="1"/>
  <c r="AE29" i="20" l="1"/>
  <c r="C30" i="20" s="1"/>
  <c r="AD29" i="20"/>
  <c r="F30" i="20" s="1"/>
  <c r="H30" i="20" s="1"/>
  <c r="D30" i="20"/>
  <c r="J30" i="20" l="1"/>
  <c r="G30" i="20"/>
  <c r="I30" i="20" s="1"/>
  <c r="L30" i="20" l="1"/>
  <c r="M30" i="20" l="1"/>
  <c r="U30" i="20" s="1"/>
  <c r="AA30" i="20" s="1"/>
  <c r="T30" i="20"/>
  <c r="Q30" i="20" l="1"/>
  <c r="R30" i="20"/>
  <c r="N30" i="20"/>
  <c r="V30" i="20" s="1"/>
  <c r="X30" i="20" s="1"/>
  <c r="P30" i="20"/>
  <c r="O30" i="20"/>
  <c r="S30" i="20" s="1"/>
  <c r="W30" i="20" s="1"/>
  <c r="Z30" i="20"/>
  <c r="AB30" i="20" l="1"/>
  <c r="D31" i="20" s="1"/>
  <c r="J31" i="20" s="1"/>
  <c r="AC30" i="20" l="1"/>
  <c r="AD30" i="20" s="1"/>
  <c r="F31" i="20" s="1"/>
  <c r="H31" i="20" s="1"/>
  <c r="E31" i="20" l="1"/>
  <c r="K31" i="20" s="1"/>
  <c r="AE30" i="20"/>
  <c r="C31" i="20" s="1"/>
  <c r="G31" i="20" s="1"/>
  <c r="I31" i="20" s="1"/>
  <c r="L31" i="20" s="1"/>
  <c r="M31" i="20" l="1"/>
  <c r="U31" i="20" s="1"/>
  <c r="AA31" i="20" s="1"/>
  <c r="T31" i="20"/>
  <c r="P31" i="20" l="1"/>
  <c r="Q31" i="20"/>
  <c r="O31" i="20"/>
  <c r="S31" i="20" s="1"/>
  <c r="W31" i="20" s="1"/>
  <c r="N31" i="20"/>
  <c r="V31" i="20" s="1"/>
  <c r="X31" i="20" s="1"/>
  <c r="R31" i="20"/>
  <c r="Z31" i="20"/>
  <c r="AB31" i="20" l="1"/>
  <c r="D32" i="20" s="1"/>
  <c r="J32" i="20" s="1"/>
  <c r="AC31" i="20" l="1"/>
  <c r="E32" i="20" s="1"/>
  <c r="K32" i="20" s="1"/>
  <c r="AD31" i="20" l="1"/>
  <c r="F32" i="20" s="1"/>
  <c r="H32" i="20" s="1"/>
  <c r="AE31" i="20"/>
  <c r="C32" i="20" s="1"/>
  <c r="G32" i="20" s="1"/>
  <c r="I32" i="20" l="1"/>
  <c r="L32" i="20" s="1"/>
  <c r="T32" i="20" s="1"/>
  <c r="M32" i="20" l="1"/>
  <c r="U32" i="20" s="1"/>
  <c r="AA32" i="20" s="1"/>
  <c r="P32" i="20"/>
  <c r="Q32" i="20"/>
  <c r="R32" i="20"/>
  <c r="Z32" i="20"/>
  <c r="N32" i="20" l="1"/>
  <c r="V32" i="20" s="1"/>
  <c r="X32" i="20" s="1"/>
  <c r="O32" i="20"/>
  <c r="S32" i="20" s="1"/>
  <c r="W32" i="20" s="1"/>
  <c r="AB32" i="20" l="1"/>
  <c r="AC32" i="20" s="1"/>
  <c r="E33" i="20" s="1"/>
  <c r="K33" i="20" s="1"/>
  <c r="D33" i="20" l="1"/>
  <c r="J33" i="20" s="1"/>
  <c r="AE32" i="20"/>
  <c r="C33" i="20" s="1"/>
  <c r="G33" i="20" s="1"/>
  <c r="I33" i="20" s="1"/>
  <c r="AD32" i="20"/>
  <c r="F33" i="20" s="1"/>
  <c r="H33" i="20" s="1"/>
  <c r="L33" i="20" l="1"/>
  <c r="M33" i="20" s="1"/>
  <c r="U33" i="20" s="1"/>
  <c r="AA33" i="20" s="1"/>
  <c r="T33" i="20" l="1"/>
  <c r="Z33" i="20" s="1"/>
  <c r="P33" i="20"/>
  <c r="Q33" i="20"/>
  <c r="O33" i="20"/>
  <c r="S33" i="20" s="1"/>
  <c r="W33" i="20" s="1"/>
  <c r="N33" i="20"/>
  <c r="V33" i="20" s="1"/>
  <c r="X33" i="20" s="1"/>
  <c r="R33" i="20"/>
  <c r="AB33" i="20" l="1"/>
  <c r="D34" i="20" s="1"/>
  <c r="J34" i="20" s="1"/>
  <c r="AC33" i="20" l="1"/>
  <c r="E34" i="20" s="1"/>
  <c r="K34" i="20" s="1"/>
  <c r="AE33" i="20" l="1"/>
  <c r="C34" i="20" s="1"/>
  <c r="G34" i="20" s="1"/>
  <c r="AD33" i="20"/>
  <c r="F34" i="20" s="1"/>
  <c r="H34" i="20" s="1"/>
  <c r="I34" i="20" l="1"/>
  <c r="L34" i="20" s="1"/>
  <c r="T34" i="20" s="1"/>
  <c r="M34" i="20" l="1"/>
  <c r="U34" i="20" s="1"/>
  <c r="AA34" i="20" s="1"/>
  <c r="P34" i="20"/>
  <c r="Q34" i="20"/>
  <c r="R34" i="20"/>
  <c r="Z34" i="20"/>
  <c r="N34" i="20" l="1"/>
  <c r="V34" i="20" s="1"/>
  <c r="X34" i="20" s="1"/>
  <c r="O34" i="20"/>
  <c r="S34" i="20" s="1"/>
  <c r="W34" i="20" s="1"/>
  <c r="AB34" i="20" l="1"/>
  <c r="D35" i="20" s="1"/>
  <c r="J35" i="20" s="1"/>
  <c r="AC34" i="20" l="1"/>
  <c r="E35" i="20" s="1"/>
  <c r="K35" i="20" s="1"/>
  <c r="AD34" i="20"/>
  <c r="F35" i="20" s="1"/>
  <c r="H35" i="20" s="1"/>
  <c r="AE34" i="20"/>
  <c r="C35" i="20" s="1"/>
  <c r="G35" i="20" s="1"/>
  <c r="I35" i="20" l="1"/>
  <c r="L35" i="20" s="1"/>
  <c r="T35" i="20" l="1"/>
  <c r="Z35" i="20" s="1"/>
  <c r="M35" i="20"/>
  <c r="U35" i="20" s="1"/>
  <c r="AA35" i="20" s="1"/>
  <c r="Q35" i="20" l="1"/>
  <c r="R35" i="20"/>
  <c r="P35" i="20"/>
  <c r="O35" i="20"/>
  <c r="S35" i="20" s="1"/>
  <c r="W35" i="20" s="1"/>
  <c r="N35" i="20"/>
  <c r="V35" i="20" s="1"/>
  <c r="X35" i="20" s="1"/>
  <c r="AB35" i="20" l="1"/>
  <c r="D36" i="20" s="1"/>
  <c r="J36" i="20" s="1"/>
  <c r="AC35" i="20" l="1"/>
  <c r="E36" i="20" s="1"/>
  <c r="K36" i="20" s="1"/>
  <c r="AD35" i="20" l="1"/>
  <c r="F36" i="20" s="1"/>
  <c r="H36" i="20" s="1"/>
  <c r="AE35" i="20"/>
  <c r="C36" i="20" s="1"/>
  <c r="G36" i="20" s="1"/>
  <c r="I36" i="20" l="1"/>
  <c r="L36" i="20" s="1"/>
  <c r="M36" i="20" l="1"/>
  <c r="U36" i="20" s="1"/>
  <c r="AA36" i="20" s="1"/>
  <c r="T36" i="20"/>
  <c r="Z36" i="20" s="1"/>
  <c r="P36" i="20" l="1"/>
  <c r="Q36" i="20"/>
  <c r="O36" i="20"/>
  <c r="S36" i="20" s="1"/>
  <c r="W36" i="20" s="1"/>
  <c r="N36" i="20"/>
  <c r="V36" i="20" s="1"/>
  <c r="X36" i="20" s="1"/>
  <c r="R36" i="20"/>
  <c r="AB36" i="20" l="1"/>
  <c r="D37" i="20" s="1"/>
  <c r="J37" i="20" s="1"/>
  <c r="AC36" i="20" l="1"/>
  <c r="E37" i="20" s="1"/>
  <c r="K37" i="20" s="1"/>
  <c r="AE36" i="20" l="1"/>
  <c r="C37" i="20" s="1"/>
  <c r="G37" i="20" s="1"/>
  <c r="AD36" i="20"/>
  <c r="F37" i="20" s="1"/>
  <c r="H37" i="20" s="1"/>
  <c r="I37" i="20" l="1"/>
  <c r="L37" i="20" s="1"/>
  <c r="T37" i="20" s="1"/>
  <c r="Z37" i="20" s="1"/>
  <c r="M37" i="20" l="1"/>
  <c r="U37" i="20" s="1"/>
  <c r="AA37" i="20" s="1"/>
  <c r="Q37" i="20"/>
  <c r="R37" i="20"/>
  <c r="P37" i="20"/>
  <c r="O37" i="20" l="1"/>
  <c r="S37" i="20" s="1"/>
  <c r="W37" i="20" s="1"/>
  <c r="N37" i="20"/>
  <c r="V37" i="20" s="1"/>
  <c r="X37" i="20" s="1"/>
  <c r="AB37" i="20" l="1"/>
  <c r="D38" i="20" s="1"/>
  <c r="J38" i="20" s="1"/>
  <c r="AC37" i="20" l="1"/>
  <c r="E38" i="20" s="1"/>
  <c r="K38" i="20" s="1"/>
  <c r="AE37" i="20"/>
  <c r="C38" i="20" s="1"/>
  <c r="G38" i="20" s="1"/>
  <c r="AD37" i="20"/>
  <c r="F38" i="20" s="1"/>
  <c r="H38" i="20" s="1"/>
  <c r="I38" i="20" l="1"/>
  <c r="L38" i="20" s="1"/>
  <c r="M38" i="20" l="1"/>
  <c r="U38" i="20" s="1"/>
  <c r="AA38" i="20" s="1"/>
  <c r="T38" i="20"/>
  <c r="Z38" i="20" s="1"/>
  <c r="Q38" i="20" l="1"/>
  <c r="R38" i="20"/>
  <c r="O38" i="20"/>
  <c r="S38" i="20" s="1"/>
  <c r="W38" i="20" s="1"/>
  <c r="P38" i="20"/>
  <c r="N38" i="20"/>
  <c r="V38" i="20" s="1"/>
  <c r="X38" i="20" s="1"/>
  <c r="AB38" i="20" l="1"/>
  <c r="D39" i="20" s="1"/>
  <c r="J39" i="20" s="1"/>
  <c r="AC38" i="20" l="1"/>
  <c r="E39" i="20" s="1"/>
  <c r="K39" i="20" s="1"/>
  <c r="AD38" i="20" l="1"/>
  <c r="F39" i="20" s="1"/>
  <c r="H39" i="20" s="1"/>
  <c r="AE38" i="20"/>
  <c r="C39" i="20" s="1"/>
  <c r="G39" i="20" s="1"/>
  <c r="I39" i="20" l="1"/>
  <c r="L39" i="20" s="1"/>
  <c r="T39" i="20" s="1"/>
  <c r="Z39" i="20" s="1"/>
  <c r="M39" i="20" l="1"/>
  <c r="U39" i="20" s="1"/>
  <c r="AA39" i="20" s="1"/>
  <c r="Q39" i="20"/>
  <c r="R39" i="20"/>
  <c r="P39" i="20"/>
  <c r="N39" i="20" l="1"/>
  <c r="V39" i="20" s="1"/>
  <c r="X39" i="20" s="1"/>
  <c r="O39" i="20"/>
  <c r="S39" i="20" s="1"/>
  <c r="W39" i="20" s="1"/>
  <c r="AB39" i="20" l="1"/>
  <c r="AC39" i="20" s="1"/>
  <c r="E40" i="20" s="1"/>
  <c r="K40" i="20" s="1"/>
  <c r="D40" i="20" l="1"/>
  <c r="J40" i="20" s="1"/>
  <c r="AE39" i="20"/>
  <c r="C40" i="20" s="1"/>
  <c r="G40" i="20" s="1"/>
  <c r="AD39" i="20"/>
  <c r="F40" i="20" s="1"/>
  <c r="H40" i="20" s="1"/>
  <c r="I40" i="20" l="1"/>
  <c r="L40" i="20" s="1"/>
  <c r="T40" i="20" s="1"/>
  <c r="Z40" i="20" s="1"/>
  <c r="M40" i="20" l="1"/>
  <c r="O40" i="20" s="1"/>
  <c r="S40" i="20" s="1"/>
  <c r="W40" i="20" s="1"/>
  <c r="R40" i="20"/>
  <c r="P40" i="20"/>
  <c r="Q40" i="20"/>
  <c r="N40" i="20" l="1"/>
  <c r="V40" i="20" s="1"/>
  <c r="X40" i="20" s="1"/>
  <c r="AB40" i="20" s="1"/>
  <c r="D41" i="20" s="1"/>
  <c r="J41" i="20" s="1"/>
  <c r="U40" i="20"/>
  <c r="AA40" i="20" s="1"/>
  <c r="AC40" i="20" l="1"/>
  <c r="E41" i="20" s="1"/>
  <c r="K41" i="20" s="1"/>
  <c r="AE40" i="20" l="1"/>
  <c r="C41" i="20" s="1"/>
  <c r="G41" i="20" s="1"/>
  <c r="AD40" i="20"/>
  <c r="F41" i="20" s="1"/>
  <c r="H41" i="20" s="1"/>
  <c r="I41" i="20" l="1"/>
  <c r="L41" i="20" s="1"/>
  <c r="T41" i="20" s="1"/>
  <c r="Z41" i="20" s="1"/>
  <c r="P41" i="20"/>
  <c r="Q41" i="20"/>
  <c r="R41" i="20"/>
  <c r="M41" i="20" l="1"/>
  <c r="U41" i="20" s="1"/>
  <c r="AA41" i="20" s="1"/>
  <c r="N41" i="20" l="1"/>
  <c r="V41" i="20" s="1"/>
  <c r="X41" i="20" s="1"/>
  <c r="O41" i="20"/>
  <c r="S41" i="20" s="1"/>
  <c r="W41" i="20" s="1"/>
  <c r="AB41" i="20" l="1"/>
  <c r="D42" i="20" s="1"/>
  <c r="J42" i="20" s="1"/>
  <c r="AE41" i="20"/>
  <c r="C42" i="20" s="1"/>
  <c r="G42" i="20" s="1"/>
  <c r="AC41" i="20" l="1"/>
  <c r="E42" i="20" s="1"/>
  <c r="K42" i="20" s="1"/>
  <c r="AD41" i="20"/>
  <c r="F42" i="20" s="1"/>
  <c r="H42" i="20" s="1"/>
  <c r="I42" i="20" s="1"/>
  <c r="L42" i="20" s="1"/>
  <c r="M42" i="20" l="1"/>
  <c r="U42" i="20" s="1"/>
  <c r="AA42" i="20" s="1"/>
  <c r="T42" i="20"/>
  <c r="P42" i="20" l="1"/>
  <c r="Q42" i="20"/>
  <c r="O42" i="20"/>
  <c r="S42" i="20" s="1"/>
  <c r="W42" i="20" s="1"/>
  <c r="N42" i="20"/>
  <c r="V42" i="20" s="1"/>
  <c r="X42" i="20" s="1"/>
  <c r="R42" i="20"/>
  <c r="Z42" i="20"/>
  <c r="AB42" i="20" l="1"/>
  <c r="D43" i="20" s="1"/>
  <c r="AC42" i="20" l="1"/>
  <c r="E43" i="20" s="1"/>
  <c r="K43" i="20" s="1"/>
  <c r="J43" i="20"/>
  <c r="AD42" i="20" l="1"/>
  <c r="F43" i="20" s="1"/>
  <c r="H43" i="20" s="1"/>
  <c r="AE42" i="20"/>
  <c r="C43" i="20" s="1"/>
  <c r="G43" i="20" s="1"/>
  <c r="I43" i="20" l="1"/>
  <c r="L43" i="20" s="1"/>
  <c r="M43" i="20" l="1"/>
  <c r="U43" i="20" s="1"/>
  <c r="AA43" i="20" s="1"/>
  <c r="T43" i="20"/>
  <c r="P43" i="20" l="1"/>
  <c r="Q43" i="20"/>
  <c r="O43" i="20"/>
  <c r="S43" i="20" s="1"/>
  <c r="W43" i="20" s="1"/>
  <c r="N43" i="20"/>
  <c r="V43" i="20" s="1"/>
  <c r="X43" i="20" s="1"/>
  <c r="R43" i="20"/>
  <c r="Z43" i="20"/>
  <c r="AB43" i="20" l="1"/>
  <c r="D44" i="20" s="1"/>
  <c r="J44" i="20" s="1"/>
  <c r="AC43" i="20" l="1"/>
  <c r="E44" i="20" s="1"/>
  <c r="K44" i="20" s="1"/>
  <c r="AD43" i="20" l="1"/>
  <c r="F44" i="20" s="1"/>
  <c r="H44" i="20" s="1"/>
  <c r="AE43" i="20"/>
  <c r="C44" i="20" s="1"/>
  <c r="G44" i="20" s="1"/>
  <c r="I44" i="20" l="1"/>
  <c r="L44" i="20" s="1"/>
  <c r="T44" i="20" s="1"/>
  <c r="Z44" i="20" s="1"/>
  <c r="M44" i="20" l="1"/>
  <c r="U44" i="20" s="1"/>
  <c r="AA44" i="20" s="1"/>
  <c r="Q44" i="20"/>
  <c r="R44" i="20"/>
  <c r="P44" i="20"/>
  <c r="N44" i="20" l="1"/>
  <c r="V44" i="20" s="1"/>
  <c r="X44" i="20" s="1"/>
  <c r="O44" i="20"/>
  <c r="S44" i="20" s="1"/>
  <c r="W44" i="20" s="1"/>
  <c r="AB44" i="20" l="1"/>
  <c r="AC44" i="20" s="1"/>
  <c r="E45" i="20" s="1"/>
  <c r="K45" i="20" s="1"/>
  <c r="AE44" i="20" l="1"/>
  <c r="C45" i="20" s="1"/>
  <c r="G45" i="20" s="1"/>
  <c r="AD44" i="20"/>
  <c r="F45" i="20" s="1"/>
  <c r="H45" i="20" s="1"/>
  <c r="D45" i="20"/>
  <c r="J45" i="20" s="1"/>
  <c r="I45" i="20" l="1"/>
  <c r="L45" i="20" s="1"/>
  <c r="T45" i="20" s="1"/>
  <c r="Z45" i="20" s="1"/>
  <c r="M45" i="20" l="1"/>
  <c r="U45" i="20" s="1"/>
  <c r="AA45" i="20" s="1"/>
  <c r="P45" i="20"/>
  <c r="Q45" i="20"/>
  <c r="R45" i="20"/>
  <c r="N45" i="20" l="1"/>
  <c r="V45" i="20" s="1"/>
  <c r="X45" i="20" s="1"/>
  <c r="O45" i="20"/>
  <c r="S45" i="20" s="1"/>
  <c r="W45" i="20" s="1"/>
  <c r="AB45" i="20" l="1"/>
  <c r="AC45" i="20" s="1"/>
  <c r="E46" i="20" s="1"/>
  <c r="K46" i="20" s="1"/>
  <c r="AD45" i="20"/>
  <c r="F46" i="20" s="1"/>
  <c r="H46" i="20" s="1"/>
  <c r="AE45" i="20"/>
  <c r="C46" i="20" s="1"/>
  <c r="G46" i="20" s="1"/>
  <c r="D46" i="20" l="1"/>
  <c r="J46" i="20" s="1"/>
  <c r="I46" i="20"/>
  <c r="L46" i="20" s="1"/>
  <c r="M46" i="20" l="1"/>
  <c r="U46" i="20" s="1"/>
  <c r="AA46" i="20" s="1"/>
  <c r="T46" i="20"/>
  <c r="P46" i="20" l="1"/>
  <c r="Q46" i="20"/>
  <c r="O46" i="20"/>
  <c r="S46" i="20" s="1"/>
  <c r="W46" i="20" s="1"/>
  <c r="N46" i="20"/>
  <c r="V46" i="20" s="1"/>
  <c r="X46" i="20" s="1"/>
  <c r="R46" i="20"/>
  <c r="Z46" i="20"/>
  <c r="AB46" i="20" l="1"/>
  <c r="D47" i="20" s="1"/>
  <c r="AC46" i="20" l="1"/>
  <c r="E47" i="20" s="1"/>
  <c r="K47" i="20" s="1"/>
  <c r="J47" i="20"/>
  <c r="AE46" i="20" l="1"/>
  <c r="C47" i="20" s="1"/>
  <c r="G47" i="20" s="1"/>
  <c r="AD46" i="20"/>
  <c r="F47" i="20" s="1"/>
  <c r="H47" i="20" s="1"/>
  <c r="I47" i="20" l="1"/>
  <c r="L47" i="20" s="1"/>
  <c r="M47" i="20" l="1"/>
  <c r="U47" i="20" s="1"/>
  <c r="AA47" i="20" s="1"/>
  <c r="T47" i="20"/>
  <c r="P47" i="20" l="1"/>
  <c r="Q47" i="20"/>
  <c r="O47" i="20"/>
  <c r="S47" i="20" s="1"/>
  <c r="W47" i="20" s="1"/>
  <c r="N47" i="20"/>
  <c r="V47" i="20" s="1"/>
  <c r="X47" i="20" s="1"/>
  <c r="R47" i="20"/>
  <c r="Z47" i="20"/>
  <c r="AB47" i="20" l="1"/>
  <c r="D48" i="20" s="1"/>
  <c r="J48" i="20" s="1"/>
  <c r="AC47" i="20" l="1"/>
  <c r="E48" i="20" s="1"/>
  <c r="K48" i="20" s="1"/>
  <c r="AE47" i="20" l="1"/>
  <c r="C48" i="20" s="1"/>
  <c r="G48" i="20" s="1"/>
  <c r="AD47" i="20"/>
  <c r="F48" i="20" s="1"/>
  <c r="H48" i="20" s="1"/>
  <c r="I48" i="20" l="1"/>
  <c r="L48" i="20" s="1"/>
  <c r="T48" i="20" s="1"/>
  <c r="M48" i="20" l="1"/>
  <c r="U48" i="20" s="1"/>
  <c r="AA48" i="20" s="1"/>
  <c r="Q48" i="20"/>
  <c r="R48" i="20"/>
  <c r="Z48" i="20"/>
  <c r="P48" i="20"/>
  <c r="O48" i="20" l="1"/>
  <c r="S48" i="20" s="1"/>
  <c r="W48" i="20" s="1"/>
  <c r="N48" i="20"/>
  <c r="V48" i="20" s="1"/>
  <c r="X48" i="20" s="1"/>
  <c r="AB48" i="20" l="1"/>
  <c r="D49" i="20" s="1"/>
  <c r="J49" i="20" s="1"/>
  <c r="AC48" i="20" l="1"/>
  <c r="E49" i="20" s="1"/>
  <c r="K49" i="20" s="1"/>
  <c r="AD48" i="20"/>
  <c r="F49" i="20" s="1"/>
  <c r="H49" i="20" s="1"/>
  <c r="AE48" i="20"/>
  <c r="C49" i="20" s="1"/>
  <c r="G49" i="20" s="1"/>
  <c r="I49" i="20" l="1"/>
  <c r="L49" i="20" s="1"/>
  <c r="T49" i="20" l="1"/>
  <c r="Z49" i="20" s="1"/>
  <c r="M49" i="20"/>
  <c r="U49" i="20" s="1"/>
  <c r="AA49" i="20" s="1"/>
  <c r="Q49" i="20" l="1"/>
  <c r="R49" i="20"/>
  <c r="O49" i="20"/>
  <c r="S49" i="20" s="1"/>
  <c r="W49" i="20" s="1"/>
  <c r="N49" i="20"/>
  <c r="V49" i="20" s="1"/>
  <c r="X49" i="20" s="1"/>
  <c r="P49" i="20"/>
  <c r="AB49" i="20" l="1"/>
  <c r="AC49" i="20" s="1"/>
  <c r="E50" i="20" s="1"/>
  <c r="K50" i="20" s="1"/>
  <c r="AE49" i="20" l="1"/>
  <c r="C50" i="20" s="1"/>
  <c r="G50" i="20" s="1"/>
  <c r="AD49" i="20"/>
  <c r="F50" i="20" s="1"/>
  <c r="H50" i="20" s="1"/>
  <c r="D50" i="20"/>
  <c r="J50" i="20" s="1"/>
  <c r="I50" i="20" l="1"/>
  <c r="L50" i="20" s="1"/>
  <c r="M50" i="20" l="1"/>
  <c r="U50" i="20" s="1"/>
  <c r="AA50" i="20" s="1"/>
  <c r="T50" i="20"/>
  <c r="P50" i="20" l="1"/>
  <c r="Q50" i="20"/>
  <c r="O50" i="20"/>
  <c r="S50" i="20" s="1"/>
  <c r="W50" i="20" s="1"/>
  <c r="N50" i="20"/>
  <c r="V50" i="20" s="1"/>
  <c r="X50" i="20" s="1"/>
  <c r="R50" i="20"/>
  <c r="Z50" i="20"/>
  <c r="AB50" i="20" l="1"/>
  <c r="D51" i="20" s="1"/>
  <c r="AC50" i="20" l="1"/>
  <c r="E51" i="20" s="1"/>
  <c r="K51" i="20" s="1"/>
  <c r="J51" i="20"/>
  <c r="AD50" i="20" l="1"/>
  <c r="F51" i="20" s="1"/>
  <c r="H51" i="20" s="1"/>
  <c r="AE50" i="20"/>
  <c r="C51" i="20" s="1"/>
  <c r="G51" i="20" s="1"/>
  <c r="I51" i="20" l="1"/>
  <c r="L51" i="20" s="1"/>
  <c r="M51" i="20" l="1"/>
  <c r="U51" i="20" s="1"/>
  <c r="AA51" i="20" s="1"/>
  <c r="T51" i="20"/>
  <c r="P51" i="20" l="1"/>
  <c r="Q51" i="20"/>
  <c r="O51" i="20"/>
  <c r="S51" i="20" s="1"/>
  <c r="W51" i="20" s="1"/>
  <c r="N51" i="20"/>
  <c r="V51" i="20" s="1"/>
  <c r="X51" i="20" s="1"/>
  <c r="R51" i="20"/>
  <c r="Z51" i="20"/>
  <c r="AB51" i="20" l="1"/>
  <c r="D52" i="20" s="1"/>
  <c r="AC51" i="20" l="1"/>
  <c r="E52" i="20" s="1"/>
  <c r="K52" i="20" s="1"/>
  <c r="J52" i="20"/>
  <c r="AE51" i="20" l="1"/>
  <c r="C52" i="20" s="1"/>
  <c r="G52" i="20" s="1"/>
  <c r="AD51" i="20"/>
  <c r="F52" i="20" s="1"/>
  <c r="H52" i="20" s="1"/>
  <c r="I52" i="20" l="1"/>
  <c r="L52" i="20" s="1"/>
  <c r="M52" i="20" l="1"/>
  <c r="U52" i="20" s="1"/>
  <c r="AA52" i="20" s="1"/>
  <c r="T52" i="20"/>
  <c r="P52" i="20" l="1"/>
  <c r="Q52" i="20"/>
  <c r="O52" i="20"/>
  <c r="S52" i="20" s="1"/>
  <c r="W52" i="20" s="1"/>
  <c r="N52" i="20"/>
  <c r="V52" i="20" s="1"/>
  <c r="X52" i="20" s="1"/>
  <c r="R52" i="20"/>
  <c r="Z52" i="20"/>
  <c r="AB52" i="20" l="1"/>
  <c r="D53" i="20" s="1"/>
  <c r="J53" i="20" s="1"/>
  <c r="AC52" i="20" l="1"/>
  <c r="E53" i="20" s="1"/>
  <c r="K53" i="20" s="1"/>
  <c r="AD52" i="20" l="1"/>
  <c r="F53" i="20" s="1"/>
  <c r="H53" i="20" s="1"/>
  <c r="AE52" i="20"/>
  <c r="C53" i="20" s="1"/>
  <c r="G53" i="20" s="1"/>
  <c r="I53" i="20" l="1"/>
  <c r="L53" i="20" s="1"/>
  <c r="T53" i="20" s="1"/>
  <c r="M53" i="20" l="1"/>
  <c r="U53" i="20" s="1"/>
  <c r="AA53" i="20" s="1"/>
  <c r="P53" i="20"/>
  <c r="Q53" i="20"/>
  <c r="R53" i="20"/>
  <c r="Z53" i="20"/>
  <c r="O53" i="20" l="1"/>
  <c r="S53" i="20" s="1"/>
  <c r="W53" i="20" s="1"/>
  <c r="N53" i="20"/>
  <c r="V53" i="20" s="1"/>
  <c r="X53" i="20" s="1"/>
  <c r="AB53" i="20" l="1"/>
  <c r="D54" i="20" s="1"/>
  <c r="J54" i="20" s="1"/>
  <c r="AC53" i="20" l="1"/>
  <c r="E54" i="20" s="1"/>
  <c r="K54" i="20" s="1"/>
  <c r="AD53" i="20"/>
  <c r="F54" i="20" s="1"/>
  <c r="H54" i="20" s="1"/>
  <c r="AE53" i="20"/>
  <c r="C54" i="20" s="1"/>
  <c r="G54" i="20" s="1"/>
  <c r="I54" i="20" l="1"/>
  <c r="L54" i="20" s="1"/>
  <c r="M54" i="20" l="1"/>
  <c r="U54" i="20" s="1"/>
  <c r="AA54" i="20" s="1"/>
  <c r="T54" i="20"/>
  <c r="P54" i="20" l="1"/>
  <c r="Q54" i="20"/>
  <c r="O54" i="20"/>
  <c r="S54" i="20" s="1"/>
  <c r="W54" i="20" s="1"/>
  <c r="N54" i="20"/>
  <c r="V54" i="20" s="1"/>
  <c r="X54" i="20" s="1"/>
  <c r="R54" i="20"/>
  <c r="Z54" i="20"/>
  <c r="AB54" i="20" l="1"/>
  <c r="D55" i="20" s="1"/>
  <c r="J55" i="20" s="1"/>
  <c r="AC54" i="20" l="1"/>
  <c r="E55" i="20" s="1"/>
  <c r="K55" i="20" s="1"/>
  <c r="AE54" i="20" l="1"/>
  <c r="C55" i="20" s="1"/>
  <c r="G55" i="20" s="1"/>
  <c r="AD54" i="20"/>
  <c r="F55" i="20" s="1"/>
  <c r="H55" i="20" s="1"/>
  <c r="I55" i="20" l="1"/>
  <c r="L55" i="20" s="1"/>
  <c r="T55" i="20" s="1"/>
  <c r="M55" i="20" l="1"/>
  <c r="U55" i="20" s="1"/>
  <c r="AA55" i="20" s="1"/>
  <c r="P55" i="20"/>
  <c r="Q55" i="20"/>
  <c r="R55" i="20"/>
  <c r="Z55" i="20"/>
  <c r="N55" i="20" l="1"/>
  <c r="V55" i="20" s="1"/>
  <c r="X55" i="20" s="1"/>
  <c r="O55" i="20"/>
  <c r="S55" i="20" s="1"/>
  <c r="W55" i="20" s="1"/>
  <c r="AB55" i="20" l="1"/>
  <c r="D56" i="20" s="1"/>
  <c r="J56" i="20" s="1"/>
  <c r="AC55" i="20" l="1"/>
  <c r="E56" i="20" s="1"/>
  <c r="K56" i="20" s="1"/>
  <c r="AD55" i="20"/>
  <c r="F56" i="20" s="1"/>
  <c r="H56" i="20" s="1"/>
  <c r="AE55" i="20"/>
  <c r="C56" i="20" s="1"/>
  <c r="G56" i="20" s="1"/>
  <c r="I56" i="20" l="1"/>
  <c r="L56" i="20" s="1"/>
  <c r="T56" i="20" s="1"/>
  <c r="M56" i="20" l="1"/>
  <c r="U56" i="20" s="1"/>
  <c r="AA56" i="20" s="1"/>
  <c r="P56" i="20"/>
  <c r="Q56" i="20"/>
  <c r="R56" i="20"/>
  <c r="Z56" i="20"/>
  <c r="O56" i="20" l="1"/>
  <c r="S56" i="20" s="1"/>
  <c r="W56" i="20" s="1"/>
  <c r="N56" i="20"/>
  <c r="V56" i="20" s="1"/>
  <c r="X56" i="20" s="1"/>
  <c r="AB56" i="20" l="1"/>
  <c r="D57" i="20" s="1"/>
  <c r="J57" i="20" s="1"/>
  <c r="AC56" i="20" l="1"/>
  <c r="E57" i="20" s="1"/>
  <c r="K57" i="20" s="1"/>
  <c r="AE56" i="20" l="1"/>
  <c r="C57" i="20" s="1"/>
  <c r="G57" i="20" s="1"/>
  <c r="AD56" i="20"/>
  <c r="F57" i="20" s="1"/>
  <c r="H57" i="20" s="1"/>
  <c r="I57" i="20" l="1"/>
  <c r="L57" i="20" s="1"/>
  <c r="T57" i="20" s="1"/>
  <c r="M57" i="20" l="1"/>
  <c r="U57" i="20" s="1"/>
  <c r="AA57" i="20" s="1"/>
  <c r="P57" i="20"/>
  <c r="Q57" i="20"/>
  <c r="R57" i="20"/>
  <c r="Z57" i="20"/>
  <c r="N57" i="20" l="1"/>
  <c r="V57" i="20" s="1"/>
  <c r="X57" i="20" s="1"/>
  <c r="O57" i="20"/>
  <c r="S57" i="20" s="1"/>
  <c r="W57" i="20" s="1"/>
  <c r="AB57" i="20" l="1"/>
  <c r="D58" i="20" s="1"/>
  <c r="J58" i="20" s="1"/>
  <c r="AC57" i="20" l="1"/>
  <c r="E58" i="20" s="1"/>
  <c r="K58" i="20" s="1"/>
  <c r="AD57" i="20"/>
  <c r="F58" i="20" s="1"/>
  <c r="H58" i="20" s="1"/>
  <c r="AE57" i="20" l="1"/>
  <c r="C58" i="20" s="1"/>
  <c r="G58" i="20" s="1"/>
  <c r="I58" i="20" s="1"/>
  <c r="L58" i="20" s="1"/>
  <c r="T58" i="20" s="1"/>
  <c r="M58" i="20" l="1"/>
  <c r="U58" i="20" s="1"/>
  <c r="AA58" i="20" s="1"/>
  <c r="P58" i="20"/>
  <c r="Q58" i="20"/>
  <c r="R58" i="20"/>
  <c r="Z58" i="20"/>
  <c r="N58" i="20" l="1"/>
  <c r="V58" i="20" s="1"/>
  <c r="X58" i="20" s="1"/>
  <c r="O58" i="20"/>
  <c r="S58" i="20" s="1"/>
  <c r="W58" i="20" s="1"/>
  <c r="AB58" i="20" l="1"/>
  <c r="D59" i="20" s="1"/>
  <c r="J59" i="20" s="1"/>
  <c r="AC58" i="20" l="1"/>
  <c r="E59" i="20" s="1"/>
  <c r="K59" i="20" s="1"/>
  <c r="AD58" i="20"/>
  <c r="F59" i="20" s="1"/>
  <c r="H59" i="20" s="1"/>
  <c r="AE58" i="20"/>
  <c r="C59" i="20" s="1"/>
  <c r="G59" i="20" s="1"/>
  <c r="I59" i="20" l="1"/>
  <c r="L59" i="20" s="1"/>
  <c r="T59" i="20" s="1"/>
  <c r="M59" i="20" l="1"/>
  <c r="U59" i="20" s="1"/>
  <c r="AA59" i="20" s="1"/>
  <c r="P59" i="20"/>
  <c r="Q59" i="20"/>
  <c r="R59" i="20"/>
  <c r="Z59" i="20"/>
  <c r="O59" i="20" l="1"/>
  <c r="S59" i="20" s="1"/>
  <c r="W59" i="20" s="1"/>
  <c r="N59" i="20"/>
  <c r="V59" i="20" s="1"/>
  <c r="X59" i="20" s="1"/>
  <c r="AB59" i="20" l="1"/>
  <c r="D60" i="20" s="1"/>
  <c r="J60" i="20" s="1"/>
  <c r="AC59" i="20" l="1"/>
  <c r="E60" i="20" s="1"/>
  <c r="K60" i="20" s="1"/>
  <c r="AE59" i="20"/>
  <c r="C60" i="20" s="1"/>
  <c r="G60" i="20" s="1"/>
  <c r="AD59" i="20"/>
  <c r="F60" i="20" s="1"/>
  <c r="H60" i="20" s="1"/>
  <c r="I60" i="20" l="1"/>
  <c r="L60" i="20" s="1"/>
  <c r="M60" i="20" l="1"/>
  <c r="U60" i="20" s="1"/>
  <c r="AA60" i="20" s="1"/>
  <c r="T60" i="20"/>
  <c r="P60" i="20" l="1"/>
  <c r="Q60" i="20"/>
  <c r="O60" i="20"/>
  <c r="S60" i="20" s="1"/>
  <c r="W60" i="20" s="1"/>
  <c r="N60" i="20"/>
  <c r="V60" i="20" s="1"/>
  <c r="X60" i="20" s="1"/>
  <c r="R60" i="20"/>
  <c r="Z60" i="20"/>
  <c r="AB60" i="20" l="1"/>
  <c r="D61" i="20" s="1"/>
  <c r="AC60" i="20" l="1"/>
  <c r="E61" i="20" s="1"/>
  <c r="K61" i="20" s="1"/>
  <c r="J61" i="20"/>
  <c r="AD60" i="20" l="1"/>
  <c r="F61" i="20" s="1"/>
  <c r="H61" i="20" s="1"/>
  <c r="AE60" i="20"/>
  <c r="C61" i="20" s="1"/>
  <c r="G61" i="20" s="1"/>
  <c r="I61" i="20" l="1"/>
  <c r="L61" i="20" s="1"/>
  <c r="M61" i="20" l="1"/>
  <c r="U61" i="20" s="1"/>
  <c r="AA61" i="20" s="1"/>
  <c r="T61" i="20"/>
  <c r="P61" i="20" l="1"/>
  <c r="Q61" i="20"/>
  <c r="O61" i="20"/>
  <c r="S61" i="20" s="1"/>
  <c r="W61" i="20" s="1"/>
  <c r="N61" i="20"/>
  <c r="V61" i="20" s="1"/>
  <c r="X61" i="20" s="1"/>
  <c r="R61" i="20"/>
  <c r="Z61" i="20"/>
  <c r="AB61" i="20" l="1"/>
  <c r="AC61" i="20" s="1"/>
  <c r="E62" i="20" s="1"/>
  <c r="K62" i="20" s="1"/>
  <c r="AE61" i="20" l="1"/>
  <c r="C62" i="20" s="1"/>
  <c r="G62" i="20" s="1"/>
  <c r="AD61" i="20"/>
  <c r="F62" i="20" s="1"/>
  <c r="H62" i="20" s="1"/>
  <c r="D62" i="20"/>
  <c r="J62" i="20" s="1"/>
  <c r="I62" i="20" l="1"/>
  <c r="L62" i="20" s="1"/>
  <c r="M62" i="20" l="1"/>
  <c r="U62" i="20" s="1"/>
  <c r="AA62" i="20" s="1"/>
  <c r="T62" i="20"/>
  <c r="P62" i="20" l="1"/>
  <c r="Q62" i="20"/>
  <c r="O62" i="20"/>
  <c r="S62" i="20" s="1"/>
  <c r="W62" i="20" s="1"/>
  <c r="N62" i="20"/>
  <c r="V62" i="20" s="1"/>
  <c r="X62" i="20" s="1"/>
  <c r="R62" i="20"/>
  <c r="Z62" i="20"/>
  <c r="AB62" i="20" l="1"/>
  <c r="D63" i="20" s="1"/>
  <c r="AC62" i="20" l="1"/>
  <c r="E63" i="20" s="1"/>
  <c r="K63" i="20" s="1"/>
  <c r="J63" i="20"/>
  <c r="AE62" i="20" l="1"/>
  <c r="C63" i="20" s="1"/>
  <c r="G63" i="20" s="1"/>
  <c r="AD62" i="20"/>
  <c r="F63" i="20" s="1"/>
  <c r="H63" i="20" s="1"/>
  <c r="I63" i="20" l="1"/>
  <c r="L63" i="20" s="1"/>
  <c r="M63" i="20" l="1"/>
  <c r="U63" i="20" s="1"/>
  <c r="AA63" i="20" s="1"/>
  <c r="T63" i="20"/>
  <c r="P63" i="20" l="1"/>
  <c r="Q63" i="20"/>
  <c r="O63" i="20"/>
  <c r="S63" i="20" s="1"/>
  <c r="W63" i="20" s="1"/>
  <c r="N63" i="20"/>
  <c r="V63" i="20" s="1"/>
  <c r="X63" i="20" s="1"/>
  <c r="R63" i="20"/>
  <c r="Z63" i="20"/>
  <c r="AB63" i="20" l="1"/>
  <c r="D64" i="20" s="1"/>
  <c r="AC63" i="20" l="1"/>
  <c r="E64" i="20" s="1"/>
  <c r="K64" i="20" s="1"/>
  <c r="J64" i="20"/>
  <c r="AD63" i="20" l="1"/>
  <c r="F64" i="20" s="1"/>
  <c r="H64" i="20" s="1"/>
  <c r="AE63" i="20"/>
  <c r="C64" i="20" s="1"/>
  <c r="G64" i="20" s="1"/>
  <c r="I64" i="20" l="1"/>
  <c r="L64" i="20" s="1"/>
  <c r="M64" i="20" l="1"/>
  <c r="U64" i="20" s="1"/>
  <c r="AA64" i="20" s="1"/>
  <c r="T64" i="20"/>
  <c r="P64" i="20" l="1"/>
  <c r="Q64" i="20"/>
  <c r="O64" i="20"/>
  <c r="S64" i="20" s="1"/>
  <c r="W64" i="20" s="1"/>
  <c r="N64" i="20"/>
  <c r="V64" i="20" s="1"/>
  <c r="X64" i="20" s="1"/>
  <c r="R64" i="20"/>
  <c r="Z64" i="20"/>
  <c r="AB64" i="20" l="1"/>
  <c r="D65" i="20" s="1"/>
  <c r="AC64" i="20" l="1"/>
  <c r="E65" i="20" s="1"/>
  <c r="K65" i="20" s="1"/>
  <c r="J65" i="20"/>
  <c r="AE64" i="20" l="1"/>
  <c r="C65" i="20" s="1"/>
  <c r="G65" i="20" s="1"/>
  <c r="AD64" i="20"/>
  <c r="F65" i="20" s="1"/>
  <c r="H65" i="20" s="1"/>
  <c r="I65" i="20" l="1"/>
  <c r="L65" i="20" s="1"/>
  <c r="M65" i="20" l="1"/>
  <c r="U65" i="20" s="1"/>
  <c r="AA65" i="20" s="1"/>
  <c r="T65" i="20"/>
  <c r="P65" i="20" l="1"/>
  <c r="Q65" i="20"/>
  <c r="O65" i="20"/>
  <c r="S65" i="20" s="1"/>
  <c r="W65" i="20" s="1"/>
  <c r="N65" i="20"/>
  <c r="V65" i="20" s="1"/>
  <c r="X65" i="20" s="1"/>
  <c r="R65" i="20"/>
  <c r="Z65" i="20"/>
  <c r="AB65" i="20" l="1"/>
  <c r="D66" i="20" s="1"/>
  <c r="J66" i="20" s="1"/>
  <c r="AC65" i="20" l="1"/>
  <c r="E66" i="20" s="1"/>
  <c r="K66" i="20" s="1"/>
  <c r="AE65" i="20" l="1"/>
  <c r="C66" i="20" s="1"/>
  <c r="G66" i="20" s="1"/>
  <c r="AD65" i="20"/>
  <c r="F66" i="20" s="1"/>
  <c r="H66" i="20" s="1"/>
  <c r="I66" i="20" l="1"/>
  <c r="L66" i="20" s="1"/>
  <c r="T66" i="20" s="1"/>
  <c r="M66" i="20" l="1"/>
  <c r="U66" i="20" s="1"/>
  <c r="AA66" i="20" s="1"/>
  <c r="P66" i="20"/>
  <c r="Q66" i="20"/>
  <c r="R66" i="20"/>
  <c r="Z66" i="20"/>
  <c r="N66" i="20" l="1"/>
  <c r="V66" i="20" s="1"/>
  <c r="X66" i="20" s="1"/>
  <c r="O66" i="20"/>
  <c r="S66" i="20" s="1"/>
  <c r="W66" i="20" s="1"/>
  <c r="AB66" i="20" l="1"/>
  <c r="D67" i="20" s="1"/>
  <c r="J67" i="20" s="1"/>
  <c r="AC66" i="20" l="1"/>
  <c r="E67" i="20" s="1"/>
  <c r="K67" i="20" s="1"/>
  <c r="AE66" i="20" l="1"/>
  <c r="C67" i="20" s="1"/>
  <c r="G67" i="20" s="1"/>
  <c r="AD66" i="20"/>
  <c r="F67" i="20" s="1"/>
  <c r="H67" i="20" s="1"/>
  <c r="I67" i="20" l="1"/>
  <c r="L67" i="20" s="1"/>
  <c r="T67" i="20" s="1"/>
  <c r="M67" i="20" l="1"/>
  <c r="U67" i="20" s="1"/>
  <c r="AA67" i="20" s="1"/>
  <c r="P67" i="20"/>
  <c r="Q67" i="20"/>
  <c r="O67" i="20"/>
  <c r="S67" i="20" s="1"/>
  <c r="W67" i="20" s="1"/>
  <c r="N67" i="20"/>
  <c r="V67" i="20" s="1"/>
  <c r="X67" i="20" s="1"/>
  <c r="R67" i="20"/>
  <c r="Z67" i="20"/>
  <c r="AB67" i="20" l="1"/>
  <c r="D68" i="20" s="1"/>
  <c r="AC67" i="20" l="1"/>
  <c r="E68" i="20" s="1"/>
  <c r="K68" i="20" s="1"/>
  <c r="J68" i="20"/>
  <c r="AE67" i="20" l="1"/>
  <c r="C68" i="20" s="1"/>
  <c r="G68" i="20" s="1"/>
  <c r="AD67" i="20"/>
  <c r="F68" i="20" s="1"/>
  <c r="H68" i="20" s="1"/>
  <c r="I68" i="20" l="1"/>
  <c r="L68" i="20" s="1"/>
  <c r="T68" i="20" l="1"/>
  <c r="M68" i="20"/>
  <c r="U68" i="20" s="1"/>
  <c r="AA68" i="20" s="1"/>
  <c r="Q68" i="20" l="1"/>
  <c r="R68" i="20"/>
  <c r="P68" i="20"/>
  <c r="O68" i="20"/>
  <c r="S68" i="20" s="1"/>
  <c r="W68" i="20" s="1"/>
  <c r="Z68" i="20"/>
  <c r="N68" i="20"/>
  <c r="V68" i="20" s="1"/>
  <c r="X68" i="20" s="1"/>
  <c r="AB68" i="20" l="1"/>
  <c r="AC68" i="20" s="1"/>
  <c r="E69" i="20" s="1"/>
  <c r="K69" i="20" s="1"/>
  <c r="AD68" i="20" l="1"/>
  <c r="F69" i="20" s="1"/>
  <c r="H69" i="20" s="1"/>
  <c r="AE68" i="20"/>
  <c r="C69" i="20" s="1"/>
  <c r="D69" i="20"/>
  <c r="J69" i="20" l="1"/>
  <c r="G69" i="20"/>
  <c r="I69" i="20" s="1"/>
  <c r="L69" i="20" l="1"/>
  <c r="M69" i="20" l="1"/>
  <c r="U69" i="20" s="1"/>
  <c r="AA69" i="20" s="1"/>
  <c r="T69" i="20"/>
  <c r="Q69" i="20" l="1"/>
  <c r="R69" i="20"/>
  <c r="P69" i="20"/>
  <c r="N69" i="20"/>
  <c r="V69" i="20" s="1"/>
  <c r="X69" i="20" s="1"/>
  <c r="O69" i="20"/>
  <c r="S69" i="20" s="1"/>
  <c r="W69" i="20" s="1"/>
  <c r="Z69" i="20"/>
  <c r="AB69" i="20" l="1"/>
  <c r="D70" i="20" s="1"/>
  <c r="AC69" i="20" l="1"/>
  <c r="E70" i="20" s="1"/>
  <c r="K70" i="20" s="1"/>
  <c r="J70" i="20"/>
  <c r="AD69" i="20" l="1"/>
  <c r="F70" i="20" s="1"/>
  <c r="H70" i="20" s="1"/>
  <c r="AE69" i="20"/>
  <c r="C70" i="20" s="1"/>
  <c r="G70" i="20" s="1"/>
  <c r="I70" i="20" l="1"/>
  <c r="L70" i="20" s="1"/>
  <c r="M70" i="20" l="1"/>
  <c r="U70" i="20" s="1"/>
  <c r="AA70" i="20" s="1"/>
  <c r="T70" i="20"/>
  <c r="P70" i="20" l="1"/>
  <c r="Q70" i="20"/>
  <c r="O70" i="20"/>
  <c r="S70" i="20" s="1"/>
  <c r="W70" i="20" s="1"/>
  <c r="N70" i="20"/>
  <c r="V70" i="20" s="1"/>
  <c r="X70" i="20" s="1"/>
  <c r="R70" i="20"/>
  <c r="Z70" i="20"/>
  <c r="AB70" i="20" l="1"/>
  <c r="D71" i="20" s="1"/>
  <c r="AC70" i="20" l="1"/>
  <c r="E71" i="20" s="1"/>
  <c r="K71" i="20" s="1"/>
  <c r="J71" i="20"/>
  <c r="AE70" i="20" l="1"/>
  <c r="C71" i="20" s="1"/>
  <c r="G71" i="20" s="1"/>
  <c r="AD70" i="20"/>
  <c r="F71" i="20" s="1"/>
  <c r="H71" i="20" s="1"/>
  <c r="I71" i="20" l="1"/>
  <c r="L71" i="20" s="1"/>
  <c r="M71" i="20" l="1"/>
  <c r="U71" i="20" s="1"/>
  <c r="AA71" i="20" s="1"/>
  <c r="T71" i="20"/>
  <c r="P71" i="20" l="1"/>
  <c r="Q71" i="20"/>
  <c r="O71" i="20"/>
  <c r="S71" i="20" s="1"/>
  <c r="W71" i="20" s="1"/>
  <c r="N71" i="20"/>
  <c r="V71" i="20" s="1"/>
  <c r="X71" i="20" s="1"/>
  <c r="R71" i="20"/>
  <c r="Z71" i="20"/>
  <c r="AB71" i="20" l="1"/>
  <c r="D72" i="20" s="1"/>
  <c r="AC71" i="20" l="1"/>
  <c r="E72" i="20" s="1"/>
  <c r="K72" i="20" s="1"/>
  <c r="J72" i="20"/>
  <c r="AE71" i="20" l="1"/>
  <c r="C72" i="20" s="1"/>
  <c r="G72" i="20" s="1"/>
  <c r="AD71" i="20"/>
  <c r="F72" i="20" s="1"/>
  <c r="H72" i="20" s="1"/>
  <c r="I72" i="20" l="1"/>
  <c r="L72" i="20" s="1"/>
  <c r="M72" i="20" l="1"/>
  <c r="U72" i="20" s="1"/>
  <c r="AA72" i="20" s="1"/>
  <c r="T72" i="20"/>
  <c r="Z72" i="20" s="1"/>
  <c r="Q72" i="20" l="1"/>
  <c r="R72" i="20"/>
  <c r="O72" i="20"/>
  <c r="S72" i="20" s="1"/>
  <c r="W72" i="20" s="1"/>
  <c r="P72" i="20"/>
  <c r="N72" i="20"/>
  <c r="V72" i="20" s="1"/>
  <c r="X72" i="20" s="1"/>
  <c r="AB72" i="20" l="1"/>
  <c r="D73" i="20" s="1"/>
  <c r="J73" i="20" s="1"/>
  <c r="AC72" i="20" l="1"/>
  <c r="E73" i="20" s="1"/>
  <c r="K73" i="20" s="1"/>
  <c r="AE72" i="20" l="1"/>
  <c r="C73" i="20" s="1"/>
  <c r="G73" i="20" s="1"/>
  <c r="AD72" i="20"/>
  <c r="F73" i="20" s="1"/>
  <c r="H73" i="20" s="1"/>
  <c r="I73" i="20" l="1"/>
  <c r="L73" i="20" s="1"/>
  <c r="T73" i="20" s="1"/>
  <c r="M73" i="20" l="1"/>
  <c r="U73" i="20" s="1"/>
  <c r="AA73" i="20" s="1"/>
  <c r="P73" i="20"/>
  <c r="Q73" i="20"/>
  <c r="R73" i="20"/>
  <c r="Z73" i="20"/>
  <c r="N73" i="20" l="1"/>
  <c r="V73" i="20" s="1"/>
  <c r="X73" i="20" s="1"/>
  <c r="O73" i="20"/>
  <c r="S73" i="20" s="1"/>
  <c r="W73" i="20" s="1"/>
  <c r="AB73" i="20" l="1"/>
  <c r="AC73" i="20" s="1"/>
  <c r="E74" i="20" s="1"/>
  <c r="K74" i="20" s="1"/>
  <c r="AE73" i="20"/>
  <c r="C74" i="20" s="1"/>
  <c r="AD73" i="20"/>
  <c r="F74" i="20" s="1"/>
  <c r="H74" i="20" s="1"/>
  <c r="D74" i="20" l="1"/>
  <c r="J74" i="20" s="1"/>
  <c r="G74" i="20"/>
  <c r="I74" i="20" s="1"/>
  <c r="L74" i="20" l="1"/>
  <c r="M74" i="20" l="1"/>
  <c r="U74" i="20" s="1"/>
  <c r="AA74" i="20" s="1"/>
  <c r="T74" i="20"/>
  <c r="P74" i="20" l="1"/>
  <c r="Q74" i="20"/>
  <c r="O74" i="20"/>
  <c r="S74" i="20" s="1"/>
  <c r="W74" i="20" s="1"/>
  <c r="R74" i="20"/>
  <c r="N74" i="20"/>
  <c r="V74" i="20" s="1"/>
  <c r="X74" i="20" s="1"/>
  <c r="Z74" i="20"/>
  <c r="AB74" i="20" l="1"/>
  <c r="D75" i="20" s="1"/>
  <c r="AC74" i="20" l="1"/>
  <c r="E75" i="20" s="1"/>
  <c r="K75" i="20" s="1"/>
  <c r="J75" i="20"/>
  <c r="AE74" i="20" l="1"/>
  <c r="C75" i="20" s="1"/>
  <c r="G75" i="20" s="1"/>
  <c r="AD74" i="20"/>
  <c r="F75" i="20" s="1"/>
  <c r="H75" i="20" s="1"/>
  <c r="I75" i="20" l="1"/>
  <c r="L75" i="20" s="1"/>
  <c r="M75" i="20" l="1"/>
  <c r="U75" i="20" s="1"/>
  <c r="AA75" i="20" s="1"/>
  <c r="T75" i="20"/>
  <c r="P75" i="20" l="1"/>
  <c r="Q75" i="20"/>
  <c r="O75" i="20"/>
  <c r="S75" i="20" s="1"/>
  <c r="W75" i="20" s="1"/>
  <c r="N75" i="20"/>
  <c r="V75" i="20" s="1"/>
  <c r="X75" i="20" s="1"/>
  <c r="R75" i="20"/>
  <c r="Z75" i="20"/>
  <c r="AB75" i="20" l="1"/>
  <c r="D76" i="20" s="1"/>
  <c r="AC75" i="20" l="1"/>
  <c r="E76" i="20" s="1"/>
  <c r="K76" i="20" s="1"/>
  <c r="J76" i="20"/>
  <c r="AD75" i="20" l="1"/>
  <c r="F76" i="20" s="1"/>
  <c r="H76" i="20" s="1"/>
  <c r="AE75" i="20"/>
  <c r="C76" i="20" s="1"/>
  <c r="G76" i="20" s="1"/>
  <c r="I76" i="20" l="1"/>
  <c r="L76" i="20" s="1"/>
  <c r="M76" i="20" l="1"/>
  <c r="U76" i="20" s="1"/>
  <c r="AA76" i="20" s="1"/>
  <c r="T76" i="20"/>
  <c r="P76" i="20" l="1"/>
  <c r="Q76" i="20"/>
  <c r="O76" i="20"/>
  <c r="S76" i="20" s="1"/>
  <c r="W76" i="20" s="1"/>
  <c r="N76" i="20"/>
  <c r="V76" i="20" s="1"/>
  <c r="X76" i="20" s="1"/>
  <c r="R76" i="20"/>
  <c r="Z76" i="20"/>
  <c r="AB76" i="20" l="1"/>
  <c r="D77" i="20" s="1"/>
  <c r="J77" i="20" s="1"/>
  <c r="AC76" i="20" l="1"/>
  <c r="E77" i="20" s="1"/>
  <c r="K77" i="20" s="1"/>
  <c r="AE76" i="20" l="1"/>
  <c r="C77" i="20" s="1"/>
  <c r="G77" i="20" s="1"/>
  <c r="AD76" i="20"/>
  <c r="F77" i="20" s="1"/>
  <c r="H77" i="20" s="1"/>
  <c r="I77" i="20" l="1"/>
  <c r="L77" i="20" s="1"/>
  <c r="T77" i="20" s="1"/>
  <c r="M77" i="20" l="1"/>
  <c r="U77" i="20" s="1"/>
  <c r="AA77" i="20" s="1"/>
  <c r="P77" i="20"/>
  <c r="Q77" i="20"/>
  <c r="R77" i="20"/>
  <c r="Z77" i="20"/>
  <c r="O77" i="20" l="1"/>
  <c r="S77" i="20" s="1"/>
  <c r="W77" i="20" s="1"/>
  <c r="N77" i="20"/>
  <c r="V77" i="20" s="1"/>
  <c r="X77" i="20" s="1"/>
  <c r="AB77" i="20" l="1"/>
  <c r="D78" i="20" s="1"/>
  <c r="J78" i="20" s="1"/>
  <c r="AC77" i="20" l="1"/>
  <c r="E78" i="20" s="1"/>
  <c r="K78" i="20" s="1"/>
  <c r="AD77" i="20"/>
  <c r="F78" i="20" s="1"/>
  <c r="H78" i="20" s="1"/>
  <c r="AE77" i="20"/>
  <c r="C78" i="20" s="1"/>
  <c r="G78" i="20" s="1"/>
  <c r="I78" i="20" l="1"/>
  <c r="L78" i="20" s="1"/>
  <c r="T78" i="20" s="1"/>
  <c r="M78" i="20" l="1"/>
  <c r="U78" i="20" s="1"/>
  <c r="AA78" i="20" s="1"/>
  <c r="P78" i="20"/>
  <c r="Q78" i="20"/>
  <c r="R78" i="20"/>
  <c r="Z78" i="20"/>
  <c r="N78" i="20" l="1"/>
  <c r="V78" i="20" s="1"/>
  <c r="X78" i="20" s="1"/>
  <c r="O78" i="20"/>
  <c r="S78" i="20" s="1"/>
  <c r="W78" i="20" s="1"/>
  <c r="AB78" i="20" l="1"/>
  <c r="D79" i="20" s="1"/>
  <c r="J79" i="20" s="1"/>
  <c r="AC78" i="20" l="1"/>
  <c r="E79" i="20" s="1"/>
  <c r="K79" i="20" s="1"/>
  <c r="AD78" i="20" l="1"/>
  <c r="F79" i="20" s="1"/>
  <c r="H79" i="20" s="1"/>
  <c r="AE78" i="20"/>
  <c r="C79" i="20" s="1"/>
  <c r="G79" i="20" s="1"/>
  <c r="I79" i="20" l="1"/>
  <c r="L79" i="20" s="1"/>
  <c r="T79" i="20" s="1"/>
  <c r="Z79" i="20" s="1"/>
  <c r="Q79" i="20"/>
  <c r="R79" i="20"/>
  <c r="P79" i="20"/>
  <c r="M79" i="20" l="1"/>
  <c r="U79" i="20" s="1"/>
  <c r="AA79" i="20" s="1"/>
  <c r="O79" i="20" l="1"/>
  <c r="S79" i="20" s="1"/>
  <c r="W79" i="20" s="1"/>
  <c r="N79" i="20"/>
  <c r="V79" i="20" s="1"/>
  <c r="X79" i="20" s="1"/>
  <c r="AB79" i="20" l="1"/>
  <c r="D80" i="20" s="1"/>
  <c r="J80" i="20" s="1"/>
  <c r="AC79" i="20"/>
  <c r="E80" i="20" s="1"/>
  <c r="K80" i="20" s="1"/>
  <c r="AD79" i="20" l="1"/>
  <c r="F80" i="20" s="1"/>
  <c r="H80" i="20" s="1"/>
  <c r="AE79" i="20"/>
  <c r="C80" i="20" s="1"/>
  <c r="G80" i="20" s="1"/>
  <c r="I80" i="20" l="1"/>
  <c r="L80" i="20" s="1"/>
  <c r="M80" i="20" l="1"/>
  <c r="U80" i="20" s="1"/>
  <c r="AA80" i="20" s="1"/>
  <c r="T80" i="20"/>
  <c r="P80" i="20" l="1"/>
  <c r="Q80" i="20"/>
  <c r="O80" i="20"/>
  <c r="S80" i="20" s="1"/>
  <c r="W80" i="20" s="1"/>
  <c r="N80" i="20"/>
  <c r="V80" i="20" s="1"/>
  <c r="X80" i="20" s="1"/>
  <c r="R80" i="20"/>
  <c r="Z80" i="20"/>
  <c r="AB80" i="20" l="1"/>
  <c r="D81" i="20" s="1"/>
  <c r="J81" i="20" s="1"/>
  <c r="AC80" i="20" l="1"/>
  <c r="E81" i="20" s="1"/>
  <c r="K81" i="20" s="1"/>
  <c r="AD80" i="20" l="1"/>
  <c r="F81" i="20" s="1"/>
  <c r="H81" i="20" s="1"/>
  <c r="AE80" i="20"/>
  <c r="C81" i="20" s="1"/>
  <c r="G81" i="20" s="1"/>
  <c r="I81" i="20" l="1"/>
  <c r="L81" i="20" s="1"/>
  <c r="T81" i="20" s="1"/>
  <c r="Z81" i="20" s="1"/>
  <c r="M81" i="20" l="1"/>
  <c r="U81" i="20" s="1"/>
  <c r="AA81" i="20" s="1"/>
  <c r="P81" i="20"/>
  <c r="Q81" i="20"/>
  <c r="R81" i="20"/>
  <c r="O81" i="20" l="1"/>
  <c r="S81" i="20" s="1"/>
  <c r="W81" i="20" s="1"/>
  <c r="N81" i="20"/>
  <c r="V81" i="20" s="1"/>
  <c r="X81" i="20" s="1"/>
  <c r="AB81" i="20" l="1"/>
  <c r="AC81" i="20" s="1"/>
  <c r="E82" i="20" s="1"/>
  <c r="K82" i="20" s="1"/>
  <c r="D82" i="20" l="1"/>
  <c r="J82" i="20" s="1"/>
  <c r="AE81" i="20"/>
  <c r="C82" i="20" s="1"/>
  <c r="G82" i="20" s="1"/>
  <c r="AD81" i="20"/>
  <c r="F82" i="20" s="1"/>
  <c r="H82" i="20" s="1"/>
  <c r="I82" i="20" l="1"/>
  <c r="L82" i="20" s="1"/>
  <c r="T82" i="20" s="1"/>
  <c r="Z82" i="20" s="1"/>
  <c r="Q82" i="20"/>
  <c r="P82" i="20"/>
  <c r="M82" i="20" l="1"/>
  <c r="U82" i="20" s="1"/>
  <c r="AA82" i="20" s="1"/>
  <c r="R82" i="20"/>
  <c r="O82" i="20" l="1"/>
  <c r="S82" i="20" s="1"/>
  <c r="W82" i="20" s="1"/>
  <c r="N82" i="20"/>
  <c r="V82" i="20" s="1"/>
  <c r="X82" i="20" s="1"/>
  <c r="AB82" i="20" l="1"/>
  <c r="D83" i="20" s="1"/>
  <c r="AC82" i="20"/>
  <c r="E83" i="20" s="1"/>
  <c r="K83" i="20" l="1"/>
  <c r="J83" i="20"/>
  <c r="AE82" i="20"/>
  <c r="C83" i="20" s="1"/>
  <c r="AD82" i="20"/>
  <c r="F83" i="20" s="1"/>
  <c r="G83" i="20" l="1"/>
  <c r="H83" i="20"/>
  <c r="I83" i="20" l="1"/>
  <c r="L83" i="20" s="1"/>
  <c r="T83" i="20" l="1"/>
  <c r="M83" i="20"/>
  <c r="U83" i="20" s="1"/>
  <c r="Q83" i="20" l="1"/>
  <c r="R83" i="20"/>
  <c r="O83" i="20"/>
  <c r="S83" i="20" s="1"/>
  <c r="W83" i="20" s="1"/>
  <c r="Z83" i="20"/>
  <c r="AA83" i="20"/>
  <c r="P83" i="20"/>
  <c r="N83" i="20"/>
  <c r="V83" i="20" s="1"/>
  <c r="X83" i="20" l="1"/>
  <c r="AB83" i="20" l="1"/>
  <c r="D84" i="20" l="1"/>
  <c r="AC83" i="20"/>
  <c r="E84" i="20" s="1"/>
  <c r="J84" i="20" l="1"/>
  <c r="K84" i="20"/>
  <c r="AD83" i="20"/>
  <c r="F84" i="20" s="1"/>
  <c r="AE83" i="20"/>
  <c r="C84" i="20" s="1"/>
  <c r="G84" i="20" l="1"/>
  <c r="H84" i="20"/>
  <c r="I84" i="20" l="1"/>
  <c r="L84" i="20" s="1"/>
  <c r="T84" i="20" l="1"/>
  <c r="M84" i="20"/>
  <c r="U84" i="20" s="1"/>
  <c r="Q84" i="20" l="1"/>
  <c r="R84" i="20"/>
  <c r="O84" i="20"/>
  <c r="S84" i="20" s="1"/>
  <c r="W84" i="20" s="1"/>
  <c r="Z84" i="20"/>
  <c r="N84" i="20"/>
  <c r="V84" i="20" s="1"/>
  <c r="AA84" i="20"/>
  <c r="P84" i="20"/>
  <c r="X84" i="20" l="1"/>
  <c r="AB84" i="20" l="1"/>
  <c r="AC84" i="20" s="1"/>
  <c r="E85" i="20" s="1"/>
  <c r="K85" i="20" l="1"/>
  <c r="AD84" i="20"/>
  <c r="F85" i="20" s="1"/>
  <c r="AE84" i="20"/>
  <c r="C85" i="20" s="1"/>
  <c r="D85" i="20"/>
  <c r="H85" i="20" l="1"/>
  <c r="J85" i="20"/>
  <c r="G85" i="20"/>
  <c r="I85" i="20" l="1"/>
  <c r="L85" i="20" s="1"/>
  <c r="M85" i="20" l="1"/>
  <c r="U85" i="20" s="1"/>
  <c r="AA85" i="20" s="1"/>
  <c r="T85" i="20"/>
  <c r="P85" i="20" l="1"/>
  <c r="Q85" i="20"/>
  <c r="O85" i="20"/>
  <c r="S85" i="20" s="1"/>
  <c r="W85" i="20" s="1"/>
  <c r="N85" i="20"/>
  <c r="V85" i="20" s="1"/>
  <c r="X85" i="20" s="1"/>
  <c r="R85" i="20"/>
  <c r="Z85" i="20"/>
  <c r="AB85" i="20" l="1"/>
  <c r="AC85" i="20" s="1"/>
  <c r="E86" i="20" l="1"/>
  <c r="AE85" i="20"/>
  <c r="AD85" i="20"/>
  <c r="D86" i="20"/>
  <c r="F86" i="20" l="1"/>
  <c r="J86" i="20"/>
  <c r="C86" i="20"/>
  <c r="K86" i="20"/>
  <c r="G86" i="20" l="1"/>
  <c r="H86" i="20"/>
  <c r="I86" i="20" l="1"/>
  <c r="L86" i="20" s="1"/>
  <c r="T86" i="20" l="1"/>
  <c r="M86" i="20"/>
  <c r="U86" i="20" s="1"/>
  <c r="Q86" i="20" l="1"/>
  <c r="R86" i="20"/>
  <c r="O86" i="20"/>
  <c r="S86" i="20" s="1"/>
  <c r="W86" i="20" s="1"/>
  <c r="AA86" i="20"/>
  <c r="Z86" i="20"/>
  <c r="N86" i="20"/>
  <c r="V86" i="20" s="1"/>
  <c r="P86" i="20"/>
  <c r="X86" i="20" l="1"/>
  <c r="AB86" i="20" l="1"/>
  <c r="D87" i="20" l="1"/>
  <c r="AC86" i="20"/>
  <c r="E87" i="20" s="1"/>
  <c r="J87" i="20" l="1"/>
  <c r="K87" i="20"/>
  <c r="AE86" i="20"/>
  <c r="C87" i="20" s="1"/>
  <c r="AD86" i="20"/>
  <c r="F87" i="20" s="1"/>
  <c r="H87" i="20" l="1"/>
  <c r="G87" i="20"/>
  <c r="I87" i="20" l="1"/>
  <c r="L87" i="20" s="1"/>
  <c r="Y132" i="20"/>
  <c r="M87" i="20" l="1"/>
  <c r="U87" i="20" s="1"/>
  <c r="AA87" i="20" s="1"/>
  <c r="T87" i="20"/>
  <c r="Q87" i="20" l="1"/>
  <c r="R87" i="20"/>
  <c r="P87" i="20"/>
  <c r="N87" i="20"/>
  <c r="V87" i="20" s="1"/>
  <c r="X87" i="20" s="1"/>
  <c r="O87" i="20"/>
  <c r="S87" i="20" s="1"/>
  <c r="W87" i="20" s="1"/>
  <c r="Z87" i="20"/>
  <c r="AB87" i="20" l="1"/>
  <c r="AC87" i="20" s="1"/>
  <c r="E88" i="20" s="1"/>
  <c r="K88" i="20" l="1"/>
  <c r="AE87" i="20"/>
  <c r="AD87" i="20"/>
  <c r="F88" i="20" s="1"/>
  <c r="D88" i="20"/>
  <c r="H88" i="20" l="1"/>
  <c r="J88" i="20"/>
  <c r="C88" i="20"/>
  <c r="G88" i="20" l="1"/>
  <c r="I88" i="20" s="1"/>
  <c r="L88" i="20" l="1"/>
  <c r="T88" i="20" l="1"/>
  <c r="M88" i="20"/>
  <c r="U88" i="20" s="1"/>
  <c r="Q88" i="20" l="1"/>
  <c r="R88" i="20"/>
  <c r="O88" i="20"/>
  <c r="S88" i="20" s="1"/>
  <c r="W88" i="20" s="1"/>
  <c r="AA88" i="20"/>
  <c r="Z88" i="20"/>
  <c r="N88" i="20"/>
  <c r="V88" i="20" s="1"/>
  <c r="P88" i="20"/>
  <c r="X88" i="20" l="1"/>
  <c r="AB88" i="20" l="1"/>
  <c r="AC88" i="20" s="1"/>
  <c r="E89" i="20" s="1"/>
  <c r="K89" i="20" l="1"/>
  <c r="AD88" i="20"/>
  <c r="F89" i="20" s="1"/>
  <c r="AE88" i="20"/>
  <c r="D89" i="20"/>
  <c r="J89" i="20" l="1"/>
  <c r="C89" i="20"/>
  <c r="H89" i="20"/>
  <c r="G89" i="20" l="1"/>
  <c r="I89" i="20" s="1"/>
  <c r="L89" i="20" l="1"/>
  <c r="T89" i="20" l="1"/>
  <c r="M89" i="20"/>
  <c r="U89" i="20" s="1"/>
  <c r="Q89" i="20" l="1"/>
  <c r="R89" i="20"/>
  <c r="O89" i="20"/>
  <c r="S89" i="20" s="1"/>
  <c r="W89" i="20" s="1"/>
  <c r="Z89" i="20"/>
  <c r="AA89" i="20"/>
  <c r="N89" i="20"/>
  <c r="V89" i="20" s="1"/>
  <c r="P89" i="20"/>
  <c r="X89" i="20" l="1"/>
  <c r="AB89" i="20" l="1"/>
  <c r="AC89" i="20" s="1"/>
  <c r="E90" i="20" s="1"/>
  <c r="K90" i="20" l="1"/>
  <c r="AE89" i="20"/>
  <c r="AD89" i="20"/>
  <c r="F90" i="20" s="1"/>
  <c r="D90" i="20"/>
  <c r="J90" i="20" l="1"/>
  <c r="C90" i="20"/>
  <c r="H90" i="20"/>
  <c r="G90" i="20" l="1"/>
  <c r="I90" i="20" s="1"/>
  <c r="L90" i="20" l="1"/>
  <c r="T90" i="20" l="1"/>
  <c r="M90" i="20"/>
  <c r="U90" i="20" s="1"/>
  <c r="Q90" i="20" l="1"/>
  <c r="R90" i="20"/>
  <c r="O90" i="20"/>
  <c r="S90" i="20" s="1"/>
  <c r="W90" i="20" s="1"/>
  <c r="Z90" i="20"/>
  <c r="AA90" i="20"/>
  <c r="N90" i="20"/>
  <c r="V90" i="20" s="1"/>
  <c r="P90" i="20"/>
  <c r="X90" i="20" l="1"/>
  <c r="AB90" i="20" l="1"/>
  <c r="D91" i="20" l="1"/>
  <c r="AC90" i="20"/>
  <c r="E91" i="20" s="1"/>
  <c r="K91" i="20" l="1"/>
  <c r="J91" i="20"/>
  <c r="AE90" i="20"/>
  <c r="AD90" i="20"/>
  <c r="F91" i="20" s="1"/>
  <c r="C91" i="20" l="1"/>
  <c r="H91" i="20"/>
  <c r="G91" i="20" l="1"/>
  <c r="I91" i="20" s="1"/>
  <c r="L91" i="20" l="1"/>
  <c r="T91" i="20" l="1"/>
  <c r="M91" i="20"/>
  <c r="U91" i="20" s="1"/>
  <c r="Q91" i="20" l="1"/>
  <c r="R91" i="20"/>
  <c r="O91" i="20"/>
  <c r="S91" i="20" s="1"/>
  <c r="W91" i="20" s="1"/>
  <c r="Z91" i="20"/>
  <c r="AA91" i="20"/>
  <c r="N91" i="20"/>
  <c r="V91" i="20" s="1"/>
  <c r="P91" i="20"/>
  <c r="X91" i="20" l="1"/>
  <c r="AB91" i="20" l="1"/>
  <c r="D92" i="20" l="1"/>
  <c r="AC91" i="20"/>
  <c r="E92" i="20" s="1"/>
  <c r="K92" i="20" l="1"/>
  <c r="J92" i="20"/>
  <c r="AE91" i="20"/>
  <c r="C92" i="20" s="1"/>
  <c r="AD91" i="20"/>
  <c r="F92" i="20" s="1"/>
  <c r="G92" i="20" l="1"/>
  <c r="H92" i="20"/>
  <c r="I92" i="20" l="1"/>
  <c r="L92" i="20" s="1"/>
  <c r="T92" i="20" l="1"/>
  <c r="M92" i="20"/>
  <c r="U92" i="20" s="1"/>
  <c r="Q92" i="20" l="1"/>
  <c r="R92" i="20"/>
  <c r="O92" i="20"/>
  <c r="S92" i="20" s="1"/>
  <c r="W92" i="20" s="1"/>
  <c r="P92" i="20"/>
  <c r="AA92" i="20"/>
  <c r="Z92" i="20"/>
  <c r="N92" i="20"/>
  <c r="V92" i="20" s="1"/>
  <c r="X92" i="20" l="1"/>
  <c r="AB92" i="20" l="1"/>
  <c r="D93" i="20" l="1"/>
  <c r="AC92" i="20"/>
  <c r="E93" i="20" s="1"/>
  <c r="AE92" i="20" l="1"/>
  <c r="C93" i="20" s="1"/>
  <c r="G93" i="20" s="1"/>
  <c r="K93" i="20"/>
  <c r="J93" i="20"/>
  <c r="AD92" i="20"/>
  <c r="F93" i="20" s="1"/>
  <c r="H93" i="20" l="1"/>
  <c r="I93" i="20" s="1"/>
  <c r="L93" i="20" l="1"/>
  <c r="T93" i="20" l="1"/>
  <c r="M93" i="20"/>
  <c r="U93" i="20" s="1"/>
  <c r="Q93" i="20" l="1"/>
  <c r="R93" i="20"/>
  <c r="O93" i="20"/>
  <c r="S93" i="20" s="1"/>
  <c r="W93" i="20" s="1"/>
  <c r="AA93" i="20"/>
  <c r="Z93" i="20"/>
  <c r="P93" i="20"/>
  <c r="N93" i="20"/>
  <c r="V93" i="20" s="1"/>
  <c r="X93" i="20" l="1"/>
  <c r="AB93" i="20" l="1"/>
  <c r="D94" i="20" l="1"/>
  <c r="AC93" i="20"/>
  <c r="E94" i="20" s="1"/>
  <c r="K94" i="20" l="1"/>
  <c r="J94" i="20"/>
  <c r="AE93" i="20"/>
  <c r="C94" i="20" s="1"/>
  <c r="AD93" i="20"/>
  <c r="F94" i="20" s="1"/>
  <c r="H94" i="20" l="1"/>
  <c r="G94" i="20"/>
  <c r="I94" i="20" l="1"/>
  <c r="L94" i="20" s="1"/>
  <c r="T94" i="20" l="1"/>
  <c r="M94" i="20"/>
  <c r="U94" i="20" s="1"/>
  <c r="Q94" i="20" l="1"/>
  <c r="R94" i="20"/>
  <c r="O94" i="20"/>
  <c r="S94" i="20" s="1"/>
  <c r="W94" i="20" s="1"/>
  <c r="AA94" i="20"/>
  <c r="Z94" i="20"/>
  <c r="P94" i="20"/>
  <c r="N94" i="20"/>
  <c r="V94" i="20" s="1"/>
  <c r="X94" i="20" l="1"/>
  <c r="AB94" i="20" l="1"/>
  <c r="AC94" i="20" s="1"/>
  <c r="E95" i="20" s="1"/>
  <c r="K95" i="20" l="1"/>
  <c r="AD94" i="20"/>
  <c r="F95" i="20" s="1"/>
  <c r="AE94" i="20"/>
  <c r="C95" i="20" s="1"/>
  <c r="D95" i="20"/>
  <c r="J95" i="20" l="1"/>
  <c r="H95" i="20"/>
  <c r="G95" i="20"/>
  <c r="I95" i="20" l="1"/>
  <c r="L95" i="20" s="1"/>
  <c r="T95" i="20" l="1"/>
  <c r="M95" i="20"/>
  <c r="U95" i="20" s="1"/>
  <c r="Q95" i="20" l="1"/>
  <c r="R95" i="20"/>
  <c r="O95" i="20"/>
  <c r="S95" i="20" s="1"/>
  <c r="W95" i="20" s="1"/>
  <c r="AA95" i="20"/>
  <c r="Z95" i="20"/>
  <c r="P95" i="20"/>
  <c r="N95" i="20"/>
  <c r="V95" i="20" s="1"/>
  <c r="X95" i="20" l="1"/>
  <c r="AB95" i="20" l="1"/>
  <c r="D96" i="20" l="1"/>
  <c r="AC95" i="20"/>
  <c r="E96" i="20" s="1"/>
  <c r="AE95" i="20" l="1"/>
  <c r="C96" i="20" s="1"/>
  <c r="G96" i="20" s="1"/>
  <c r="K96" i="20"/>
  <c r="J96" i="20"/>
  <c r="AD95" i="20"/>
  <c r="F96" i="20" s="1"/>
  <c r="H96" i="20" l="1"/>
  <c r="I96" i="20" s="1"/>
  <c r="L96" i="20" l="1"/>
  <c r="T96" i="20" l="1"/>
  <c r="M96" i="20"/>
  <c r="U96" i="20" s="1"/>
  <c r="Q96" i="20" l="1"/>
  <c r="R96" i="20"/>
  <c r="O96" i="20"/>
  <c r="S96" i="20" s="1"/>
  <c r="W96" i="20" s="1"/>
  <c r="AA96" i="20"/>
  <c r="Z96" i="20"/>
  <c r="P96" i="20"/>
  <c r="N96" i="20"/>
  <c r="V96" i="20" s="1"/>
  <c r="X96" i="20" l="1"/>
  <c r="AB96" i="20" l="1"/>
  <c r="AC96" i="20" s="1"/>
  <c r="E97" i="20" s="1"/>
  <c r="K97" i="20" l="1"/>
  <c r="AD96" i="20"/>
  <c r="F97" i="20" s="1"/>
  <c r="AE96" i="20"/>
  <c r="C97" i="20" s="1"/>
  <c r="D97" i="20"/>
  <c r="J97" i="20" l="1"/>
  <c r="H97" i="20"/>
  <c r="G97" i="20"/>
  <c r="I97" i="20" l="1"/>
  <c r="L97" i="20" s="1"/>
  <c r="T97" i="20" l="1"/>
  <c r="M97" i="20"/>
  <c r="U97" i="20" s="1"/>
  <c r="Q97" i="20" l="1"/>
  <c r="R97" i="20"/>
  <c r="O97" i="20"/>
  <c r="S97" i="20" s="1"/>
  <c r="W97" i="20" s="1"/>
  <c r="P97" i="20"/>
  <c r="AA97" i="20"/>
  <c r="Z97" i="20"/>
  <c r="N97" i="20"/>
  <c r="V97" i="20" s="1"/>
  <c r="X97" i="20" l="1"/>
  <c r="AB97" i="20" l="1"/>
  <c r="D98" i="20" l="1"/>
  <c r="AC97" i="20"/>
  <c r="E98" i="20" s="1"/>
  <c r="AE97" i="20" l="1"/>
  <c r="C98" i="20" s="1"/>
  <c r="K98" i="20"/>
  <c r="J98" i="20"/>
  <c r="AD97" i="20"/>
  <c r="F98" i="20" s="1"/>
  <c r="H98" i="20" l="1"/>
  <c r="G98" i="20"/>
  <c r="I98" i="20" l="1"/>
  <c r="L98" i="20" s="1"/>
  <c r="T98" i="20" l="1"/>
  <c r="M98" i="20"/>
  <c r="U98" i="20" s="1"/>
  <c r="Q98" i="20" l="1"/>
  <c r="R98" i="20"/>
  <c r="O98" i="20"/>
  <c r="S98" i="20" s="1"/>
  <c r="W98" i="20" s="1"/>
  <c r="P98" i="20"/>
  <c r="AA98" i="20"/>
  <c r="Z98" i="20"/>
  <c r="N98" i="20"/>
  <c r="V98" i="20" s="1"/>
  <c r="X98" i="20" l="1"/>
  <c r="AB98" i="20" l="1"/>
  <c r="D99" i="20" l="1"/>
  <c r="AC98" i="20"/>
  <c r="E99" i="20" s="1"/>
  <c r="K99" i="20" l="1"/>
  <c r="J99" i="20"/>
  <c r="AE98" i="20"/>
  <c r="C99" i="20" s="1"/>
  <c r="AD98" i="20"/>
  <c r="F99" i="20" s="1"/>
  <c r="G99" i="20" l="1"/>
  <c r="H99" i="20"/>
  <c r="I99" i="20" l="1"/>
  <c r="L99" i="20" s="1"/>
  <c r="M99" i="20" l="1"/>
  <c r="U99" i="20" s="1"/>
  <c r="AA99" i="20" s="1"/>
  <c r="T99" i="20"/>
  <c r="Q99" i="20" l="1"/>
  <c r="R99" i="20"/>
  <c r="P99" i="20"/>
  <c r="N99" i="20"/>
  <c r="V99" i="20" s="1"/>
  <c r="X99" i="20" s="1"/>
  <c r="O99" i="20"/>
  <c r="S99" i="20" s="1"/>
  <c r="W99" i="20" s="1"/>
  <c r="Z99" i="20"/>
  <c r="AB99" i="20" l="1"/>
  <c r="AC99" i="20" s="1"/>
  <c r="E100" i="20" s="1"/>
  <c r="K100" i="20" l="1"/>
  <c r="AD99" i="20"/>
  <c r="F100" i="20" s="1"/>
  <c r="AE99" i="20"/>
  <c r="C100" i="20" s="1"/>
  <c r="D100" i="20"/>
  <c r="J100" i="20" l="1"/>
  <c r="H100" i="20"/>
  <c r="G100" i="20"/>
  <c r="I100" i="20" l="1"/>
  <c r="L100" i="20" s="1"/>
  <c r="T100" i="20" l="1"/>
  <c r="M100" i="20"/>
  <c r="U100" i="20" s="1"/>
  <c r="Q100" i="20" l="1"/>
  <c r="R100" i="20"/>
  <c r="O100" i="20"/>
  <c r="S100" i="20" s="1"/>
  <c r="W100" i="20" s="1"/>
  <c r="AA100" i="20"/>
  <c r="Z100" i="20"/>
  <c r="P100" i="20"/>
  <c r="N100" i="20"/>
  <c r="V100" i="20" s="1"/>
  <c r="X100" i="20" l="1"/>
  <c r="AB100" i="20" l="1"/>
  <c r="AC100" i="20" s="1"/>
  <c r="E101" i="20" s="1"/>
  <c r="K101" i="20" l="1"/>
  <c r="AD100" i="20"/>
  <c r="F101" i="20" s="1"/>
  <c r="AE100" i="20"/>
  <c r="C101" i="20" s="1"/>
  <c r="D101" i="20"/>
  <c r="J101" i="20" l="1"/>
  <c r="H101" i="20"/>
  <c r="G101" i="20"/>
  <c r="I101" i="20" l="1"/>
  <c r="L101" i="20" s="1"/>
  <c r="T101" i="20" l="1"/>
  <c r="M101" i="20"/>
  <c r="U101" i="20" s="1"/>
  <c r="Q101" i="20" l="1"/>
  <c r="R101" i="20"/>
  <c r="O101" i="20"/>
  <c r="S101" i="20" s="1"/>
  <c r="W101" i="20" s="1"/>
  <c r="AA101" i="20"/>
  <c r="Z101" i="20"/>
  <c r="P101" i="20"/>
  <c r="N101" i="20"/>
  <c r="V101" i="20" s="1"/>
  <c r="X101" i="20" l="1"/>
  <c r="AB101" i="20" l="1"/>
  <c r="AC101" i="20" s="1"/>
  <c r="E102" i="20" s="1"/>
  <c r="K102" i="20" l="1"/>
  <c r="AD101" i="20"/>
  <c r="F102" i="20" s="1"/>
  <c r="AE101" i="20"/>
  <c r="C102" i="20" s="1"/>
  <c r="D102" i="20"/>
  <c r="J102" i="20" l="1"/>
  <c r="H102" i="20"/>
  <c r="G102" i="20"/>
  <c r="I102" i="20" l="1"/>
  <c r="L102" i="20" s="1"/>
  <c r="T102" i="20" l="1"/>
  <c r="M102" i="20"/>
  <c r="U102" i="20" s="1"/>
  <c r="Q102" i="20" l="1"/>
  <c r="R102" i="20"/>
  <c r="O102" i="20"/>
  <c r="S102" i="20" s="1"/>
  <c r="W102" i="20" s="1"/>
  <c r="Z102" i="20"/>
  <c r="AA102" i="20"/>
  <c r="N102" i="20"/>
  <c r="V102" i="20" s="1"/>
  <c r="P102" i="20"/>
  <c r="X102" i="20" l="1"/>
  <c r="AB102" i="20" l="1"/>
  <c r="D103" i="20" l="1"/>
  <c r="AC102" i="20"/>
  <c r="E103" i="20" s="1"/>
  <c r="AE102" i="20" l="1"/>
  <c r="C103" i="20" s="1"/>
  <c r="G103" i="20" s="1"/>
  <c r="K103" i="20"/>
  <c r="J103" i="20"/>
  <c r="AD102" i="20"/>
  <c r="F103" i="20" s="1"/>
  <c r="H103" i="20" l="1"/>
  <c r="I103" i="20" l="1"/>
  <c r="L103" i="20" s="1"/>
  <c r="T103" i="20" l="1"/>
  <c r="Z103" i="20" s="1"/>
  <c r="M103" i="20"/>
  <c r="U103" i="20" s="1"/>
  <c r="AA103" i="20" s="1"/>
  <c r="Q103" i="20" l="1"/>
  <c r="R103" i="20"/>
  <c r="O103" i="20"/>
  <c r="S103" i="20" s="1"/>
  <c r="W103" i="20" s="1"/>
  <c r="N103" i="20"/>
  <c r="V103" i="20" s="1"/>
  <c r="X103" i="20" s="1"/>
  <c r="P103" i="20"/>
  <c r="AB103" i="20" l="1"/>
  <c r="AC103" i="20" s="1"/>
  <c r="E104" i="20" s="1"/>
  <c r="K104" i="20" s="1"/>
  <c r="AE103" i="20" l="1"/>
  <c r="C104" i="20" s="1"/>
  <c r="G104" i="20" s="1"/>
  <c r="AD103" i="20"/>
  <c r="F104" i="20" s="1"/>
  <c r="H104" i="20" s="1"/>
  <c r="D104" i="20"/>
  <c r="J104" i="20" s="1"/>
  <c r="I104" i="20" l="1"/>
  <c r="L104" i="20" s="1"/>
  <c r="T104" i="20" l="1"/>
  <c r="M104" i="20"/>
  <c r="U104" i="20" s="1"/>
  <c r="Q104" i="20" l="1"/>
  <c r="R104" i="20"/>
  <c r="O104" i="20"/>
  <c r="S104" i="20" s="1"/>
  <c r="W104" i="20" s="1"/>
  <c r="AA104" i="20"/>
  <c r="Z104" i="20"/>
  <c r="P104" i="20"/>
  <c r="N104" i="20"/>
  <c r="V104" i="20" s="1"/>
  <c r="X104" i="20" l="1"/>
  <c r="AB104" i="20" l="1"/>
  <c r="D105" i="20" l="1"/>
  <c r="AC104" i="20"/>
  <c r="E105" i="20" s="1"/>
  <c r="AE104" i="20" l="1"/>
  <c r="C105" i="20" s="1"/>
  <c r="K105" i="20"/>
  <c r="J105" i="20"/>
  <c r="AD104" i="20"/>
  <c r="F105" i="20" s="1"/>
  <c r="H105" i="20" l="1"/>
  <c r="G105" i="20"/>
  <c r="I105" i="20" l="1"/>
  <c r="L105" i="20" s="1"/>
  <c r="T105" i="20" l="1"/>
  <c r="M105" i="20"/>
  <c r="U105" i="20" s="1"/>
  <c r="Q105" i="20" l="1"/>
  <c r="R105" i="20"/>
  <c r="O105" i="20"/>
  <c r="S105" i="20" s="1"/>
  <c r="W105" i="20" s="1"/>
  <c r="Z105" i="20"/>
  <c r="AA105" i="20"/>
  <c r="N105" i="20"/>
  <c r="V105" i="20" s="1"/>
  <c r="P105" i="20"/>
  <c r="X105" i="20" l="1"/>
  <c r="AB105" i="20" l="1"/>
  <c r="AC105" i="20" s="1"/>
  <c r="E106" i="20" s="1"/>
  <c r="K106" i="20" l="1"/>
  <c r="AD105" i="20"/>
  <c r="F106" i="20" s="1"/>
  <c r="AE105" i="20"/>
  <c r="C106" i="20" s="1"/>
  <c r="D106" i="20"/>
  <c r="J106" i="20" l="1"/>
  <c r="G106" i="20"/>
  <c r="H106" i="20"/>
  <c r="I106" i="20" l="1"/>
  <c r="L106" i="20" s="1"/>
  <c r="T106" i="20" l="1"/>
  <c r="M106" i="20"/>
  <c r="U106" i="20" s="1"/>
  <c r="Q106" i="20" l="1"/>
  <c r="R106" i="20"/>
  <c r="O106" i="20"/>
  <c r="S106" i="20" s="1"/>
  <c r="W106" i="20" s="1"/>
  <c r="Z106" i="20"/>
  <c r="AA106" i="20"/>
  <c r="N106" i="20"/>
  <c r="V106" i="20" s="1"/>
  <c r="P106" i="20"/>
  <c r="X106" i="20" l="1"/>
  <c r="AB106" i="20" l="1"/>
  <c r="AC106" i="20" s="1"/>
  <c r="E107" i="20" s="1"/>
  <c r="K107" i="20" l="1"/>
  <c r="AD106" i="20"/>
  <c r="F107" i="20" s="1"/>
  <c r="AE106" i="20"/>
  <c r="C107" i="20" s="1"/>
  <c r="D107" i="20"/>
  <c r="J107" i="20" l="1"/>
  <c r="H107" i="20"/>
  <c r="G107" i="20"/>
  <c r="I107" i="20" l="1"/>
  <c r="L107" i="20" s="1"/>
  <c r="M107" i="20" l="1"/>
  <c r="U107" i="20" s="1"/>
  <c r="AA107" i="20" s="1"/>
  <c r="T107" i="20"/>
  <c r="P107" i="20" l="1"/>
  <c r="Q107" i="20"/>
  <c r="O107" i="20"/>
  <c r="S107" i="20" s="1"/>
  <c r="W107" i="20" s="1"/>
  <c r="N107" i="20"/>
  <c r="V107" i="20" s="1"/>
  <c r="X107" i="20" s="1"/>
  <c r="R107" i="20"/>
  <c r="Z107" i="20"/>
  <c r="AB107" i="20" l="1"/>
  <c r="AC107" i="20" s="1"/>
  <c r="E108" i="20" s="1"/>
  <c r="K108" i="20" l="1"/>
  <c r="AD107" i="20"/>
  <c r="F108" i="20" s="1"/>
  <c r="AE107" i="20"/>
  <c r="C108" i="20" s="1"/>
  <c r="D108" i="20"/>
  <c r="J108" i="20" l="1"/>
  <c r="H108" i="20"/>
  <c r="G108" i="20"/>
  <c r="I108" i="20" l="1"/>
  <c r="L108" i="20" s="1"/>
  <c r="T108" i="20" l="1"/>
  <c r="M108" i="20"/>
  <c r="U108" i="20" s="1"/>
  <c r="Q108" i="20" l="1"/>
  <c r="R108" i="20"/>
  <c r="O108" i="20"/>
  <c r="S108" i="20" s="1"/>
  <c r="W108" i="20" s="1"/>
  <c r="Z108" i="20"/>
  <c r="AA108" i="20"/>
  <c r="N108" i="20"/>
  <c r="V108" i="20" s="1"/>
  <c r="P108" i="20"/>
  <c r="X108" i="20" l="1"/>
  <c r="AB108" i="20" l="1"/>
  <c r="D109" i="20" l="1"/>
  <c r="AC108" i="20"/>
  <c r="E109" i="20" s="1"/>
  <c r="K109" i="20" l="1"/>
  <c r="J109" i="20"/>
  <c r="AE108" i="20"/>
  <c r="C109" i="20" s="1"/>
  <c r="AD108" i="20"/>
  <c r="F109" i="20" s="1"/>
  <c r="H109" i="20" l="1"/>
  <c r="G109" i="20"/>
  <c r="I109" i="20" l="1"/>
  <c r="L109" i="20" s="1"/>
  <c r="T109" i="20" l="1"/>
  <c r="M109" i="20"/>
  <c r="U109" i="20" s="1"/>
  <c r="Q109" i="20" l="1"/>
  <c r="R109" i="20"/>
  <c r="O109" i="20"/>
  <c r="S109" i="20" s="1"/>
  <c r="W109" i="20" s="1"/>
  <c r="Z109" i="20"/>
  <c r="N109" i="20"/>
  <c r="V109" i="20" s="1"/>
  <c r="AA109" i="20"/>
  <c r="P109" i="20"/>
  <c r="X109" i="20" l="1"/>
  <c r="AB109" i="20" l="1"/>
  <c r="D110" i="20" l="1"/>
  <c r="AC109" i="20"/>
  <c r="E110" i="20" s="1"/>
  <c r="AE109" i="20" l="1"/>
  <c r="C110" i="20" s="1"/>
  <c r="K110" i="20"/>
  <c r="J110" i="20"/>
  <c r="AD109" i="20"/>
  <c r="F110" i="20" s="1"/>
  <c r="H110" i="20" l="1"/>
  <c r="G110" i="20"/>
  <c r="I110" i="20" l="1"/>
  <c r="L110" i="20" s="1"/>
  <c r="T110" i="20" l="1"/>
  <c r="M110" i="20"/>
  <c r="U110" i="20" s="1"/>
  <c r="Q110" i="20" l="1"/>
  <c r="R110" i="20"/>
  <c r="O110" i="20"/>
  <c r="S110" i="20" s="1"/>
  <c r="W110" i="20" s="1"/>
  <c r="Z110" i="20"/>
  <c r="AA110" i="20"/>
  <c r="N110" i="20"/>
  <c r="V110" i="20" s="1"/>
  <c r="P110" i="20"/>
  <c r="X110" i="20" l="1"/>
  <c r="AB110" i="20" l="1"/>
  <c r="D111" i="20" l="1"/>
  <c r="AC110" i="20"/>
  <c r="E111" i="20" s="1"/>
  <c r="AE110" i="20" l="1"/>
  <c r="C111" i="20" s="1"/>
  <c r="K111" i="20"/>
  <c r="J111" i="20"/>
  <c r="AD110" i="20"/>
  <c r="F111" i="20" s="1"/>
  <c r="H111" i="20" l="1"/>
  <c r="G111" i="20"/>
  <c r="I111" i="20" l="1"/>
  <c r="L111" i="20" s="1"/>
  <c r="M111" i="20" l="1"/>
  <c r="U111" i="20" s="1"/>
  <c r="AA111" i="20" s="1"/>
  <c r="T111" i="20"/>
  <c r="Q111" i="20" l="1"/>
  <c r="R111" i="20"/>
  <c r="P111" i="20"/>
  <c r="N111" i="20"/>
  <c r="V111" i="20" s="1"/>
  <c r="X111" i="20" s="1"/>
  <c r="O111" i="20"/>
  <c r="S111" i="20" s="1"/>
  <c r="W111" i="20" s="1"/>
  <c r="Z111" i="20"/>
  <c r="AB111" i="20" l="1"/>
  <c r="AC111" i="20" s="1"/>
  <c r="E112" i="20" s="1"/>
  <c r="K112" i="20" l="1"/>
  <c r="AD111" i="20"/>
  <c r="F112" i="20" s="1"/>
  <c r="AE111" i="20"/>
  <c r="C112" i="20" s="1"/>
  <c r="D112" i="20"/>
  <c r="J112" i="20" l="1"/>
  <c r="H112" i="20"/>
  <c r="G112" i="20"/>
  <c r="D42" i="19" l="1"/>
  <c r="I112" i="20"/>
  <c r="L112" i="20" s="1"/>
  <c r="M112" i="20" l="1"/>
  <c r="U112" i="20" s="1"/>
  <c r="T112" i="20"/>
  <c r="Q112" i="20" l="1"/>
  <c r="I132" i="20" s="1"/>
  <c r="Q17" i="19" s="1"/>
  <c r="R112" i="20"/>
  <c r="I133" i="20" s="1"/>
  <c r="Q16" i="19" s="1"/>
  <c r="P112" i="20"/>
  <c r="I131" i="20" s="1"/>
  <c r="Q8" i="19" s="1"/>
  <c r="N112" i="20"/>
  <c r="V112" i="20" s="1"/>
  <c r="X112" i="20" s="1"/>
  <c r="O112" i="20"/>
  <c r="S112" i="20" s="1"/>
  <c r="Z112" i="20"/>
  <c r="AA112" i="20"/>
  <c r="I134" i="20" l="1"/>
  <c r="W112" i="20"/>
  <c r="AB112" i="20" l="1"/>
  <c r="D113" i="20" s="1"/>
  <c r="Q11" i="19" s="1"/>
  <c r="D43" i="19"/>
  <c r="I153" i="20"/>
  <c r="B42" i="19"/>
  <c r="I137" i="20"/>
  <c r="I140" i="20"/>
  <c r="I149" i="20"/>
  <c r="I138" i="20"/>
  <c r="I151" i="20"/>
  <c r="I136" i="20"/>
  <c r="I147" i="20"/>
  <c r="I144" i="20"/>
  <c r="I150" i="20"/>
  <c r="I145" i="20"/>
  <c r="I143" i="20"/>
  <c r="I141" i="20"/>
  <c r="I152" i="20"/>
  <c r="I146" i="20"/>
  <c r="I142" i="20"/>
  <c r="I148" i="20"/>
  <c r="I139" i="20"/>
  <c r="AC112" i="20" l="1"/>
  <c r="E113" i="20" s="1"/>
  <c r="Q12" i="19" s="1"/>
  <c r="Q42" i="19" s="1"/>
  <c r="T21" i="19" s="1"/>
  <c r="T11" i="19" l="1"/>
  <c r="AD112" i="20"/>
  <c r="F113" i="20" s="1"/>
  <c r="Q9" i="19" s="1"/>
  <c r="AE112" i="20"/>
  <c r="C113" i="20" s="1"/>
  <c r="Y134" i="20" l="1"/>
  <c r="Y144" i="20" s="1"/>
  <c r="Q39" i="19" s="1"/>
  <c r="T12" i="19" s="1"/>
  <c r="Y153" i="20" l="1"/>
  <c r="Q38" i="19" s="1"/>
  <c r="Y152" i="20"/>
  <c r="Q34" i="19" s="1"/>
  <c r="Y136" i="20"/>
  <c r="Q20" i="19" s="1"/>
  <c r="Y138" i="20"/>
  <c r="Q22" i="19" s="1"/>
  <c r="Y145" i="20"/>
  <c r="Q27" i="19" s="1"/>
  <c r="Y142" i="20"/>
  <c r="Q26" i="19" s="1"/>
  <c r="Y148" i="20"/>
  <c r="Q30" i="19" s="1"/>
  <c r="Q6" i="19"/>
  <c r="T18" i="19" s="1"/>
  <c r="Y141" i="20"/>
  <c r="Q25" i="19" s="1"/>
  <c r="Y146" i="20"/>
  <c r="Q28" i="19" s="1"/>
  <c r="Y143" i="20"/>
  <c r="Q37" i="19" s="1"/>
  <c r="T13" i="19" s="1"/>
  <c r="Y140" i="20"/>
  <c r="Q24" i="19" s="1"/>
  <c r="Y147" i="20"/>
  <c r="Q29" i="19" s="1"/>
  <c r="Y150" i="20"/>
  <c r="Q32" i="19" s="1"/>
  <c r="Y139" i="20"/>
  <c r="Q23" i="19" s="1"/>
  <c r="Y151" i="20"/>
  <c r="Q33" i="19" s="1"/>
  <c r="B43" i="19"/>
  <c r="Y137" i="20"/>
  <c r="Q21" i="19" s="1"/>
  <c r="Y149" i="20"/>
  <c r="Q31" i="19" s="1"/>
  <c r="T8" i="19"/>
  <c r="T9" i="19"/>
  <c r="T14" i="19" l="1"/>
  <c r="T16" i="19"/>
  <c r="T20" i="19"/>
  <c r="T15" i="19"/>
  <c r="Q44" i="19"/>
  <c r="T35" i="19" s="1"/>
  <c r="T10" i="19"/>
  <c r="T19" i="19"/>
  <c r="T37" i="19" l="1"/>
  <c r="S6" i="19"/>
  <c r="T25" i="19"/>
  <c r="T38" i="19"/>
  <c r="T27" i="19"/>
  <c r="T24" i="19"/>
  <c r="T26" i="19"/>
  <c r="T23" i="19"/>
  <c r="T30" i="19"/>
  <c r="T34" i="19"/>
  <c r="T32" i="19"/>
  <c r="T33" i="19"/>
  <c r="T28" i="19"/>
  <c r="T36" i="19"/>
  <c r="T29" i="19"/>
  <c r="T31" i="19"/>
  <c r="H1" i="19" l="1"/>
</calcChain>
</file>

<file path=xl/sharedStrings.xml><?xml version="1.0" encoding="utf-8"?>
<sst xmlns="http://schemas.openxmlformats.org/spreadsheetml/2006/main" count="307" uniqueCount="217">
  <si>
    <t>Burnt Malt</t>
  </si>
  <si>
    <t>Dark Malt</t>
  </si>
  <si>
    <t>Med. Malt</t>
  </si>
  <si>
    <t>Lt. Malt</t>
  </si>
  <si>
    <t>Honey</t>
  </si>
  <si>
    <t>Glucose</t>
  </si>
  <si>
    <t>Maltose</t>
  </si>
  <si>
    <t>Amount</t>
  </si>
  <si>
    <t>Color</t>
  </si>
  <si>
    <t>Raw Malt</t>
  </si>
  <si>
    <t>Tannin</t>
  </si>
  <si>
    <t>Barley</t>
  </si>
  <si>
    <t>Alcohol:</t>
  </si>
  <si>
    <t>Color:</t>
  </si>
  <si>
    <t>Glucose:</t>
  </si>
  <si>
    <t>Maltose:</t>
  </si>
  <si>
    <t>Barley:</t>
  </si>
  <si>
    <t>Tannin:</t>
  </si>
  <si>
    <t>Orange:</t>
  </si>
  <si>
    <t>Banana:</t>
  </si>
  <si>
    <t>Cherry:</t>
  </si>
  <si>
    <t>Date:</t>
  </si>
  <si>
    <t>Nutmeg:</t>
  </si>
  <si>
    <t>Cinnamon:</t>
  </si>
  <si>
    <t>Grassy:</t>
  </si>
  <si>
    <t>Nasty:</t>
  </si>
  <si>
    <t>Honey:</t>
  </si>
  <si>
    <t>Add At</t>
  </si>
  <si>
    <t>Grassy</t>
  </si>
  <si>
    <t>TOTALS</t>
  </si>
  <si>
    <t>Spicy:</t>
  </si>
  <si>
    <t>Nutmeg + Cinnamon &gt; 300</t>
  </si>
  <si>
    <t>Fruity:</t>
  </si>
  <si>
    <t>Brown:</t>
  </si>
  <si>
    <t>Color &gt; 200</t>
  </si>
  <si>
    <t>Black:</t>
  </si>
  <si>
    <t>Color &gt; 500</t>
  </si>
  <si>
    <t>Hint of flavor:</t>
  </si>
  <si>
    <t>Flavor &gt; 200</t>
  </si>
  <si>
    <t>Noticeable flavor:</t>
  </si>
  <si>
    <t>Flavor &gt; 400</t>
  </si>
  <si>
    <t>Potent:</t>
  </si>
  <si>
    <t>Alcohol &gt; 800</t>
  </si>
  <si>
    <t>Very Potent:</t>
  </si>
  <si>
    <t>Alcohol &gt; 1200</t>
  </si>
  <si>
    <t>Bold flavor:</t>
  </si>
  <si>
    <t>Flavor &gt; 1000</t>
  </si>
  <si>
    <t>Glucose floor:</t>
  </si>
  <si>
    <t>Maltose floor:</t>
  </si>
  <si>
    <t>Orange + Banana + Cherry + Date + Honey &gt; 500</t>
  </si>
  <si>
    <t>Burnt Wheat</t>
  </si>
  <si>
    <t>Dark Wheat</t>
  </si>
  <si>
    <t>Med. Wheat</t>
  </si>
  <si>
    <t>Lt. Wheat</t>
  </si>
  <si>
    <t>Raw Wheat</t>
  </si>
  <si>
    <t>Bread:</t>
  </si>
  <si>
    <t>Grapefruit:</t>
  </si>
  <si>
    <t>Pear:</t>
  </si>
  <si>
    <t>Blackberry:</t>
  </si>
  <si>
    <t>Prune:</t>
  </si>
  <si>
    <t>Jasmine:</t>
  </si>
  <si>
    <t>Clove:</t>
  </si>
  <si>
    <t>Vanilla:</t>
  </si>
  <si>
    <t>Herbal:</t>
  </si>
  <si>
    <t>Bread</t>
  </si>
  <si>
    <t>Herbal</t>
  </si>
  <si>
    <t>Malt volume:</t>
  </si>
  <si>
    <t>Wheat volume:</t>
  </si>
  <si>
    <t>Vitamins:</t>
  </si>
  <si>
    <t>Vitamins</t>
  </si>
  <si>
    <t>Effective Add Time</t>
  </si>
  <si>
    <t>Mold:</t>
  </si>
  <si>
    <t>Microbe</t>
  </si>
  <si>
    <t>Lactobacillus-4</t>
  </si>
  <si>
    <t>Yeast-17</t>
  </si>
  <si>
    <t>Acetobacter-62</t>
  </si>
  <si>
    <t>Mold-63</t>
  </si>
  <si>
    <t>Yeast-82</t>
  </si>
  <si>
    <t>Glucose Floor</t>
  </si>
  <si>
    <t>Maltose Floor</t>
  </si>
  <si>
    <t>Orange</t>
  </si>
  <si>
    <t>Banana</t>
  </si>
  <si>
    <t>Cherry</t>
  </si>
  <si>
    <t>Date</t>
  </si>
  <si>
    <t>Nutmeg</t>
  </si>
  <si>
    <t>Cinnamon</t>
  </si>
  <si>
    <t>Nasty</t>
  </si>
  <si>
    <t>Grapefruit</t>
  </si>
  <si>
    <t>Pear</t>
  </si>
  <si>
    <t>Blackberry</t>
  </si>
  <si>
    <t>Prune</t>
  </si>
  <si>
    <t>Jasmine</t>
  </si>
  <si>
    <t>Clove</t>
  </si>
  <si>
    <t>Vanilla</t>
  </si>
  <si>
    <t>Flavors</t>
  </si>
  <si>
    <t>Malt</t>
  </si>
  <si>
    <t>Wheat</t>
  </si>
  <si>
    <t>Lactose:</t>
  </si>
  <si>
    <t>Citric Acid:</t>
  </si>
  <si>
    <t>Lactic Acid:</t>
  </si>
  <si>
    <t>Acetic Acid:</t>
  </si>
  <si>
    <t>Sweetness:</t>
  </si>
  <si>
    <t>Vitamin
Ratio</t>
  </si>
  <si>
    <t>Vitamin ratio:</t>
  </si>
  <si>
    <t>Yeast-27</t>
  </si>
  <si>
    <t>Yeast-24</t>
  </si>
  <si>
    <t>Yeast-59</t>
  </si>
  <si>
    <t>Vitamin Threshold</t>
  </si>
  <si>
    <t>Fermentation</t>
  </si>
  <si>
    <t>Vitamin threshold:</t>
  </si>
  <si>
    <t>Microbes work by taking a series of "bites" from the supply of sugar and vitamins in the brew.</t>
  </si>
  <si>
    <t>Yeast-18</t>
  </si>
  <si>
    <r>
      <t xml:space="preserve">The vitamins consumed by each bite is the # of sugar eaten divided by the microbe's </t>
    </r>
    <r>
      <rPr>
        <b/>
        <sz val="10"/>
        <rFont val="Arial"/>
        <family val="2"/>
      </rPr>
      <t>vitamin ratio</t>
    </r>
    <r>
      <rPr>
        <sz val="10"/>
        <rFont val="Arial"/>
        <family val="2"/>
      </rPr>
      <t xml:space="preserve"> (rounded down).</t>
    </r>
  </si>
  <si>
    <t>Yeast-74</t>
  </si>
  <si>
    <t>Yeast-9</t>
  </si>
  <si>
    <t>Yeast-66</t>
  </si>
  <si>
    <t>Lactobacillus-21</t>
  </si>
  <si>
    <r>
      <t xml:space="preserve">The first bite always consumes 10 sugar.  Each successive bite is larger than the one before it, increasing geometrically based on the </t>
    </r>
    <r>
      <rPr>
        <b/>
        <sz val="10"/>
        <rFont val="Arial"/>
        <family val="2"/>
      </rPr>
      <t>growth rate</t>
    </r>
    <r>
      <rPr>
        <sz val="10"/>
        <rFont val="Arial"/>
        <family val="2"/>
      </rPr>
      <t xml:space="preserve"> for that microbe.</t>
    </r>
  </si>
  <si>
    <t>Growth Rate</t>
  </si>
  <si>
    <t>Main flavor:</t>
  </si>
  <si>
    <t>Potency:</t>
  </si>
  <si>
    <t>Spiciness:</t>
  </si>
  <si>
    <t>Fruitiness:</t>
  </si>
  <si>
    <t>Moldy?</t>
  </si>
  <si>
    <t>Vinegar?</t>
  </si>
  <si>
    <t>Low Alcohol?</t>
  </si>
  <si>
    <t>Sour?</t>
  </si>
  <si>
    <t>Nasty?</t>
  </si>
  <si>
    <t>Grassy?</t>
  </si>
  <si>
    <t>Cloying?</t>
  </si>
  <si>
    <t>Bitter?</t>
  </si>
  <si>
    <t>Caustic?</t>
  </si>
  <si>
    <t>Growth rate:</t>
  </si>
  <si>
    <t>Yeast-97</t>
  </si>
  <si>
    <t>Yeast-91</t>
  </si>
  <si>
    <t>Yeast-72</t>
  </si>
  <si>
    <t>Yeast-83</t>
  </si>
  <si>
    <t>Yeast-3</t>
  </si>
  <si>
    <t>Yeast-2</t>
  </si>
  <si>
    <t>Yeast-40</t>
  </si>
  <si>
    <t>= Hint of flavor at max alcohol</t>
  </si>
  <si>
    <t>= Noticeable flavor at max alcohol</t>
  </si>
  <si>
    <t>= Bold flavor at max alcohol (or &gt;100 Nasty/Grassy)</t>
  </si>
  <si>
    <t>Yeast-16</t>
  </si>
  <si>
    <t>Yeast-1</t>
  </si>
  <si>
    <t>Yeast-26</t>
  </si>
  <si>
    <t>Yeast-41</t>
  </si>
  <si>
    <t>Yeast-75</t>
  </si>
  <si>
    <t>Yeast-56</t>
  </si>
  <si>
    <t>Yeast-33</t>
  </si>
  <si>
    <t>Yeast-65</t>
  </si>
  <si>
    <t>Lactobacillus-44</t>
  </si>
  <si>
    <t>Yeast-43</t>
  </si>
  <si>
    <t>Yeast-19</t>
  </si>
  <si>
    <t>Yeast-48</t>
  </si>
  <si>
    <t>Yeast-25</t>
  </si>
  <si>
    <t>Lactobacillus-100</t>
  </si>
  <si>
    <t>Mold-55</t>
  </si>
  <si>
    <t>Yeast-10</t>
  </si>
  <si>
    <t>Yeast-11</t>
  </si>
  <si>
    <t>Yeast-32</t>
  </si>
  <si>
    <t>Yeast-34</t>
  </si>
  <si>
    <t>Yeast-49</t>
  </si>
  <si>
    <t>Yeast-50</t>
  </si>
  <si>
    <t>Yeast-51</t>
  </si>
  <si>
    <t>Yeast-57</t>
  </si>
  <si>
    <t>Yeast-58</t>
  </si>
  <si>
    <t>Yeast-64</t>
  </si>
  <si>
    <t>Yeast-73</t>
  </si>
  <si>
    <t>Yeast-81</t>
  </si>
  <si>
    <t>Yeast-90</t>
  </si>
  <si>
    <t>Yeast-96</t>
  </si>
  <si>
    <t>Yeast-99</t>
  </si>
  <si>
    <t>Yeast-8</t>
  </si>
  <si>
    <t>Yeast-35</t>
  </si>
  <si>
    <t>Yeast-42</t>
  </si>
  <si>
    <t>Yeast-67</t>
  </si>
  <si>
    <t>Yeast-80</t>
  </si>
  <si>
    <t>Yeast-88</t>
  </si>
  <si>
    <t>Yeast-89</t>
  </si>
  <si>
    <t>Yeast-98</t>
  </si>
  <si>
    <t>Microbe #1:</t>
  </si>
  <si>
    <t>Microbe #2:</t>
  </si>
  <si>
    <t>Entry at step:</t>
  </si>
  <si>
    <t>Vitamin threshold exceeded?</t>
  </si>
  <si>
    <t>Glucose eaten</t>
  </si>
  <si>
    <t>Maltose eaten</t>
  </si>
  <si>
    <t>Vitamins consumed</t>
  </si>
  <si>
    <t>Available production</t>
  </si>
  <si>
    <t>Edible glucose</t>
  </si>
  <si>
    <t>Edible maltose</t>
  </si>
  <si>
    <t>Starting Amounts</t>
  </si>
  <si>
    <t>Mold produced:</t>
  </si>
  <si>
    <t>Acetic acid produced:</t>
  </si>
  <si>
    <t>Lactic acid produced:</t>
  </si>
  <si>
    <t>Alcohol produced:</t>
  </si>
  <si>
    <t>Alcohol produced</t>
  </si>
  <si>
    <t>Mold produced</t>
  </si>
  <si>
    <t>Acetic acid produced</t>
  </si>
  <si>
    <t>Lactic acid produced</t>
  </si>
  <si>
    <t>Alcohol Level</t>
  </si>
  <si>
    <t>Max Alcohol</t>
  </si>
  <si>
    <t>Alcohol Threshold</t>
  </si>
  <si>
    <t>Alcohol threshold:</t>
  </si>
  <si>
    <t>(none)</t>
  </si>
  <si>
    <t>Alcohol threshold exceeded?</t>
  </si>
  <si>
    <t>% malt by volume:</t>
  </si>
  <si>
    <t>% wheat by volume:</t>
  </si>
  <si>
    <t>Time Range</t>
  </si>
  <si>
    <t>At end</t>
  </si>
  <si>
    <t>Alcohol</t>
  </si>
  <si>
    <t>Reason for stopping</t>
  </si>
  <si>
    <r>
      <t xml:space="preserve">A bite will only be taken if, at the start of the bite, the # of remaining vitamins is equal to or greater than the microbe's </t>
    </r>
    <r>
      <rPr>
        <b/>
        <sz val="10"/>
        <rFont val="Arial"/>
        <family val="2"/>
      </rPr>
      <t>vitamin threshold</t>
    </r>
    <r>
      <rPr>
        <sz val="10"/>
        <rFont val="Arial"/>
        <family val="2"/>
      </rPr>
      <t>, and the alcohol level is equal to</t>
    </r>
  </si>
  <si>
    <r>
      <t xml:space="preserve">or less than the microbe's </t>
    </r>
    <r>
      <rPr>
        <b/>
        <sz val="10"/>
        <rFont val="Arial"/>
        <family val="2"/>
      </rPr>
      <t>alcohol threshold</t>
    </r>
    <r>
      <rPr>
        <sz val="10"/>
        <rFont val="Arial"/>
        <family val="2"/>
      </rPr>
      <t>.  Otherwise fermentation will stop for that microbe.</t>
    </r>
  </si>
  <si>
    <r>
      <t xml:space="preserve">Microbes consume glucose first, then maltose.  A microbe will never consume sugar below the </t>
    </r>
    <r>
      <rPr>
        <b/>
        <sz val="10"/>
        <rFont val="Arial"/>
        <family val="2"/>
      </rPr>
      <t>glucose floor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maltose floor</t>
    </r>
    <r>
      <rPr>
        <sz val="10"/>
        <rFont val="Arial"/>
        <family val="2"/>
      </rPr>
      <t>, respectively.</t>
    </r>
  </si>
  <si>
    <r>
      <t xml:space="preserve">Values shaded in </t>
    </r>
    <r>
      <rPr>
        <sz val="10"/>
        <color theme="3"/>
        <rFont val="Arial"/>
        <family val="2"/>
      </rPr>
      <t>blue</t>
    </r>
    <r>
      <rPr>
        <sz val="10"/>
        <rFont val="Arial"/>
        <family val="2"/>
      </rPr>
      <t xml:space="preserve"> are still undetermined.  Conservative estimates have been filled in.</t>
    </r>
  </si>
  <si>
    <t>Entry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</si>
</sst>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%"/>
    <numFmt numFmtId="165" formatCode="0.000"/>
    <numFmt numFmtId="166" formatCode="0.0000_);\(0.0000\)"/>
    <numFmt numFmtId="167" formatCode="0_);\(0\)"/>
  </numFmts>
  <fonts count="11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u/>
      <sz val="10"/>
      <name val="Arial"/>
      <family val="2"/>
    </font>
    <font>
      <b/>
      <sz val="10"/>
      <color theme="0"/>
      <name val="Arial"/>
      <family val="2"/>
    </font>
    <font>
      <sz val="10"/>
      <color theme="3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FFFEF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8">
    <xf numFmtId="0" fontId="0" fillId="0" borderId="0" xfId="0"/>
    <xf numFmtId="0" fontId="0" fillId="0" borderId="0" xfId="0" quotePrefix="1" applyAlignment="1">
      <alignment horizontal="lef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2" borderId="1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4" fillId="0" borderId="0" xfId="0" applyFont="1"/>
    <xf numFmtId="164" fontId="2" fillId="0" borderId="0" xfId="1" applyNumberFormat="1" applyFont="1"/>
    <xf numFmtId="0" fontId="2" fillId="0" borderId="8" xfId="0" applyFont="1" applyBorder="1" applyAlignment="1">
      <alignment horizontal="left"/>
    </xf>
    <xf numFmtId="0" fontId="2" fillId="0" borderId="9" xfId="0" quotePrefix="1" applyFont="1" applyBorder="1" applyAlignment="1">
      <alignment horizontal="left"/>
    </xf>
    <xf numFmtId="0" fontId="2" fillId="2" borderId="12" xfId="0" applyFont="1" applyFill="1" applyBorder="1"/>
    <xf numFmtId="0" fontId="2" fillId="2" borderId="13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Border="1"/>
    <xf numFmtId="0" fontId="2" fillId="0" borderId="13" xfId="0" applyFont="1" applyBorder="1"/>
    <xf numFmtId="0" fontId="2" fillId="0" borderId="12" xfId="0" applyFont="1" applyBorder="1"/>
    <xf numFmtId="0" fontId="2" fillId="2" borderId="14" xfId="0" applyFont="1" applyFill="1" applyBorder="1"/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2" fillId="2" borderId="17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0" borderId="20" xfId="0" applyFont="1" applyFill="1" applyBorder="1"/>
    <xf numFmtId="0" fontId="2" fillId="2" borderId="20" xfId="0" applyFont="1" applyFill="1" applyBorder="1"/>
    <xf numFmtId="0" fontId="2" fillId="2" borderId="15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2" fillId="4" borderId="23" xfId="0" applyFont="1" applyFill="1" applyBorder="1"/>
    <xf numFmtId="0" fontId="2" fillId="4" borderId="22" xfId="0" applyFont="1" applyFill="1" applyBorder="1"/>
    <xf numFmtId="0" fontId="2" fillId="3" borderId="23" xfId="0" applyFont="1" applyFill="1" applyBorder="1"/>
    <xf numFmtId="0" fontId="2" fillId="4" borderId="24" xfId="0" applyFont="1" applyFill="1" applyBorder="1"/>
    <xf numFmtId="0" fontId="2" fillId="3" borderId="24" xfId="0" applyFont="1" applyFill="1" applyBorder="1"/>
    <xf numFmtId="0" fontId="2" fillId="3" borderId="25" xfId="0" applyFont="1" applyFill="1" applyBorder="1"/>
    <xf numFmtId="0" fontId="2" fillId="2" borderId="31" xfId="0" applyFont="1" applyFill="1" applyBorder="1" applyAlignment="1">
      <alignment horizontal="left" indent="1"/>
    </xf>
    <xf numFmtId="0" fontId="2" fillId="2" borderId="32" xfId="0" applyFont="1" applyFill="1" applyBorder="1" applyAlignment="1">
      <alignment horizontal="left" indent="1"/>
    </xf>
    <xf numFmtId="0" fontId="2" fillId="0" borderId="33" xfId="0" applyFont="1" applyFill="1" applyBorder="1" applyAlignment="1">
      <alignment horizontal="left" indent="1"/>
    </xf>
    <xf numFmtId="0" fontId="2" fillId="0" borderId="32" xfId="0" applyFont="1" applyFill="1" applyBorder="1" applyAlignment="1">
      <alignment horizontal="left" indent="1"/>
    </xf>
    <xf numFmtId="0" fontId="2" fillId="2" borderId="33" xfId="0" applyFont="1" applyFill="1" applyBorder="1" applyAlignment="1">
      <alignment horizontal="left" indent="1"/>
    </xf>
    <xf numFmtId="0" fontId="2" fillId="0" borderId="34" xfId="0" quotePrefix="1" applyFont="1" applyBorder="1" applyAlignment="1">
      <alignment horizontal="left" indent="1"/>
    </xf>
    <xf numFmtId="0" fontId="2" fillId="0" borderId="32" xfId="0" quotePrefix="1" applyFont="1" applyBorder="1" applyAlignment="1">
      <alignment horizontal="left" indent="1"/>
    </xf>
    <xf numFmtId="0" fontId="2" fillId="2" borderId="33" xfId="0" quotePrefix="1" applyFont="1" applyFill="1" applyBorder="1" applyAlignment="1">
      <alignment horizontal="left" indent="1"/>
    </xf>
    <xf numFmtId="0" fontId="2" fillId="2" borderId="32" xfId="0" quotePrefix="1" applyFont="1" applyFill="1" applyBorder="1" applyAlignment="1">
      <alignment horizontal="left" indent="1"/>
    </xf>
    <xf numFmtId="0" fontId="2" fillId="0" borderId="33" xfId="0" quotePrefix="1" applyFont="1" applyBorder="1" applyAlignment="1">
      <alignment horizontal="left" indent="1"/>
    </xf>
    <xf numFmtId="0" fontId="2" fillId="2" borderId="34" xfId="0" applyFont="1" applyFill="1" applyBorder="1" applyAlignment="1">
      <alignment horizontal="left" indent="1"/>
    </xf>
    <xf numFmtId="0" fontId="2" fillId="2" borderId="35" xfId="0" applyFont="1" applyFill="1" applyBorder="1" applyAlignment="1">
      <alignment horizontal="left" indent="1"/>
    </xf>
    <xf numFmtId="0" fontId="2" fillId="3" borderId="26" xfId="0" applyFont="1" applyFill="1" applyBorder="1"/>
    <xf numFmtId="0" fontId="2" fillId="3" borderId="27" xfId="0" applyFont="1" applyFill="1" applyBorder="1"/>
    <xf numFmtId="0" fontId="2" fillId="4" borderId="28" xfId="0" applyFont="1" applyFill="1" applyBorder="1"/>
    <xf numFmtId="0" fontId="2" fillId="4" borderId="27" xfId="0" applyFont="1" applyFill="1" applyBorder="1"/>
    <xf numFmtId="0" fontId="2" fillId="3" borderId="28" xfId="0" applyFont="1" applyFill="1" applyBorder="1"/>
    <xf numFmtId="0" fontId="2" fillId="4" borderId="29" xfId="0" applyFont="1" applyFill="1" applyBorder="1"/>
    <xf numFmtId="0" fontId="2" fillId="3" borderId="29" xfId="0" applyFont="1" applyFill="1" applyBorder="1"/>
    <xf numFmtId="0" fontId="2" fillId="3" borderId="30" xfId="0" applyFont="1" applyFill="1" applyBorder="1"/>
    <xf numFmtId="0" fontId="3" fillId="0" borderId="36" xfId="0" applyFont="1" applyBorder="1" applyAlignment="1">
      <alignment vertical="center"/>
    </xf>
    <xf numFmtId="0" fontId="2" fillId="0" borderId="0" xfId="0" applyFont="1" applyBorder="1"/>
    <xf numFmtId="165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6" xfId="0" applyFont="1" applyFill="1" applyBorder="1"/>
    <xf numFmtId="0" fontId="2" fillId="2" borderId="37" xfId="0" applyFont="1" applyFill="1" applyBorder="1"/>
    <xf numFmtId="0" fontId="2" fillId="0" borderId="38" xfId="0" applyFont="1" applyFill="1" applyBorder="1"/>
    <xf numFmtId="0" fontId="2" fillId="2" borderId="39" xfId="0" applyFont="1" applyFill="1" applyBorder="1"/>
    <xf numFmtId="0" fontId="2" fillId="0" borderId="39" xfId="0" applyFont="1" applyFill="1" applyBorder="1"/>
    <xf numFmtId="0" fontId="2" fillId="5" borderId="1" xfId="0" applyFont="1" applyFill="1" applyBorder="1"/>
    <xf numFmtId="0" fontId="2" fillId="5" borderId="5" xfId="0" applyFont="1" applyFill="1" applyBorder="1"/>
    <xf numFmtId="0" fontId="2" fillId="5" borderId="4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5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5" fillId="0" borderId="48" xfId="0" applyFont="1" applyBorder="1" applyAlignment="1">
      <alignment horizontal="left" vertical="center" indent="1"/>
    </xf>
    <xf numFmtId="0" fontId="0" fillId="0" borderId="49" xfId="0" applyBorder="1" applyAlignment="1">
      <alignment horizontal="left" vertical="center" indent="1"/>
    </xf>
    <xf numFmtId="0" fontId="4" fillId="0" borderId="5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6" fontId="4" fillId="0" borderId="61" xfId="0" applyNumberFormat="1" applyFont="1" applyBorder="1" applyAlignment="1">
      <alignment horizontal="center" vertical="center" wrapText="1"/>
    </xf>
    <xf numFmtId="166" fontId="4" fillId="0" borderId="54" xfId="0" applyNumberFormat="1" applyFont="1" applyBorder="1" applyAlignment="1">
      <alignment horizontal="center" vertical="center" wrapText="1"/>
    </xf>
    <xf numFmtId="166" fontId="4" fillId="0" borderId="50" xfId="0" applyNumberFormat="1" applyFont="1" applyBorder="1" applyAlignment="1">
      <alignment horizontal="center" vertical="center" wrapText="1"/>
    </xf>
    <xf numFmtId="166" fontId="0" fillId="0" borderId="62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51" xfId="0" applyNumberFormat="1" applyBorder="1" applyAlignment="1">
      <alignment horizontal="center" vertical="center"/>
    </xf>
    <xf numFmtId="166" fontId="0" fillId="0" borderId="63" xfId="0" applyNumberFormat="1" applyBorder="1" applyAlignment="1">
      <alignment horizontal="center" vertical="center"/>
    </xf>
    <xf numFmtId="166" fontId="0" fillId="0" borderId="55" xfId="0" applyNumberFormat="1" applyBorder="1" applyAlignment="1">
      <alignment horizontal="center" vertical="center"/>
    </xf>
    <xf numFmtId="166" fontId="0" fillId="0" borderId="52" xfId="0" applyNumberFormat="1" applyBorder="1" applyAlignment="1">
      <alignment horizontal="center" vertical="center"/>
    </xf>
    <xf numFmtId="166" fontId="4" fillId="0" borderId="57" xfId="0" applyNumberFormat="1" applyFont="1" applyBorder="1" applyAlignment="1">
      <alignment horizontal="center" vertical="center" wrapText="1"/>
    </xf>
    <xf numFmtId="166" fontId="0" fillId="0" borderId="58" xfId="0" applyNumberFormat="1" applyBorder="1" applyAlignment="1">
      <alignment horizontal="center" vertical="center"/>
    </xf>
    <xf numFmtId="166" fontId="0" fillId="0" borderId="59" xfId="0" applyNumberFormat="1" applyBorder="1" applyAlignment="1">
      <alignment horizontal="center" vertical="center"/>
    </xf>
    <xf numFmtId="166" fontId="2" fillId="0" borderId="0" xfId="0" applyNumberFormat="1" applyFont="1"/>
    <xf numFmtId="1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0" xfId="0" quotePrefix="1" applyFont="1" applyBorder="1" applyAlignment="1"/>
    <xf numFmtId="0" fontId="2" fillId="5" borderId="20" xfId="0" applyFont="1" applyFill="1" applyBorder="1"/>
    <xf numFmtId="0" fontId="2" fillId="5" borderId="39" xfId="0" applyFont="1" applyFill="1" applyBorder="1"/>
    <xf numFmtId="0" fontId="2" fillId="2" borderId="67" xfId="0" applyFont="1" applyFill="1" applyBorder="1"/>
    <xf numFmtId="0" fontId="2" fillId="5" borderId="37" xfId="0" applyFont="1" applyFill="1" applyBorder="1"/>
    <xf numFmtId="0" fontId="2" fillId="5" borderId="19" xfId="0" applyFont="1" applyFill="1" applyBorder="1"/>
    <xf numFmtId="0" fontId="2" fillId="5" borderId="18" xfId="0" applyFont="1" applyFill="1" applyBorder="1"/>
    <xf numFmtId="0" fontId="2" fillId="2" borderId="68" xfId="0" applyFont="1" applyFill="1" applyBorder="1"/>
    <xf numFmtId="0" fontId="2" fillId="2" borderId="69" xfId="0" applyFont="1" applyFill="1" applyBorder="1"/>
    <xf numFmtId="0" fontId="2" fillId="0" borderId="70" xfId="0" applyFont="1" applyFill="1" applyBorder="1"/>
    <xf numFmtId="0" fontId="2" fillId="0" borderId="69" xfId="0" applyFont="1" applyFill="1" applyBorder="1"/>
    <xf numFmtId="0" fontId="2" fillId="2" borderId="70" xfId="0" applyFont="1" applyFill="1" applyBorder="1"/>
    <xf numFmtId="0" fontId="2" fillId="0" borderId="71" xfId="0" applyFont="1" applyBorder="1"/>
    <xf numFmtId="0" fontId="2" fillId="0" borderId="69" xfId="0" applyFont="1" applyBorder="1"/>
    <xf numFmtId="0" fontId="2" fillId="0" borderId="70" xfId="0" applyFont="1" applyBorder="1"/>
    <xf numFmtId="0" fontId="2" fillId="2" borderId="71" xfId="0" applyFont="1" applyFill="1" applyBorder="1"/>
    <xf numFmtId="0" fontId="2" fillId="2" borderId="36" xfId="0" applyFont="1" applyFill="1" applyBorder="1"/>
    <xf numFmtId="0" fontId="2" fillId="2" borderId="72" xfId="0" applyFont="1" applyFill="1" applyBorder="1"/>
    <xf numFmtId="0" fontId="2" fillId="2" borderId="73" xfId="0" applyFont="1" applyFill="1" applyBorder="1"/>
    <xf numFmtId="0" fontId="2" fillId="0" borderId="74" xfId="0" applyFont="1" applyFill="1" applyBorder="1"/>
    <xf numFmtId="0" fontId="2" fillId="0" borderId="73" xfId="0" applyFont="1" applyFill="1" applyBorder="1"/>
    <xf numFmtId="0" fontId="2" fillId="2" borderId="74" xfId="0" applyFont="1" applyFill="1" applyBorder="1"/>
    <xf numFmtId="0" fontId="2" fillId="0" borderId="75" xfId="0" applyFont="1" applyBorder="1"/>
    <xf numFmtId="0" fontId="2" fillId="0" borderId="73" xfId="0" applyFont="1" applyBorder="1"/>
    <xf numFmtId="0" fontId="2" fillId="0" borderId="74" xfId="0" applyFont="1" applyBorder="1"/>
    <xf numFmtId="0" fontId="2" fillId="2" borderId="75" xfId="0" applyFont="1" applyFill="1" applyBorder="1"/>
    <xf numFmtId="0" fontId="2" fillId="2" borderId="76" xfId="0" applyFont="1" applyFill="1" applyBorder="1"/>
    <xf numFmtId="0" fontId="3" fillId="0" borderId="77" xfId="0" applyFont="1" applyBorder="1" applyAlignment="1">
      <alignment horizontal="center" vertical="center"/>
    </xf>
    <xf numFmtId="0" fontId="2" fillId="2" borderId="80" xfId="0" applyFont="1" applyFill="1" applyBorder="1"/>
    <xf numFmtId="0" fontId="2" fillId="2" borderId="79" xfId="0" applyFont="1" applyFill="1" applyBorder="1"/>
    <xf numFmtId="0" fontId="4" fillId="0" borderId="81" xfId="0" applyFont="1" applyBorder="1" applyAlignment="1">
      <alignment horizontal="center" vertical="center" wrapText="1"/>
    </xf>
    <xf numFmtId="166" fontId="4" fillId="0" borderId="82" xfId="0" applyNumberFormat="1" applyFont="1" applyBorder="1" applyAlignment="1">
      <alignment horizontal="center" vertical="center" wrapText="1"/>
    </xf>
    <xf numFmtId="166" fontId="0" fillId="0" borderId="83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0" fontId="1" fillId="0" borderId="48" xfId="0" quotePrefix="1" applyFont="1" applyBorder="1" applyAlignment="1">
      <alignment horizontal="left" vertical="center" indent="1"/>
    </xf>
    <xf numFmtId="0" fontId="4" fillId="0" borderId="43" xfId="0" applyFont="1" applyBorder="1" applyAlignment="1">
      <alignment horizontal="center" vertical="center"/>
    </xf>
    <xf numFmtId="167" fontId="0" fillId="0" borderId="83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85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/>
    </xf>
    <xf numFmtId="9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quotePrefix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6" fontId="0" fillId="0" borderId="62" xfId="0" applyNumberFormat="1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166" fontId="0" fillId="0" borderId="58" xfId="0" applyNumberFormat="1" applyFill="1" applyBorder="1" applyAlignment="1">
      <alignment horizontal="center" vertical="center"/>
    </xf>
    <xf numFmtId="166" fontId="0" fillId="0" borderId="83" xfId="0" applyNumberFormat="1" applyFill="1" applyBorder="1" applyAlignment="1">
      <alignment horizontal="center" vertical="center"/>
    </xf>
    <xf numFmtId="166" fontId="0" fillId="0" borderId="51" xfId="0" applyNumberFormat="1" applyFill="1" applyBorder="1" applyAlignment="1">
      <alignment horizontal="center" vertical="center"/>
    </xf>
    <xf numFmtId="167" fontId="0" fillId="0" borderId="2" xfId="0" applyNumberFormat="1" applyFill="1" applyBorder="1" applyAlignment="1">
      <alignment horizontal="center" vertical="center"/>
    </xf>
    <xf numFmtId="167" fontId="0" fillId="0" borderId="83" xfId="0" applyNumberFormat="1" applyFill="1" applyBorder="1" applyAlignment="1">
      <alignment horizontal="center" vertical="center"/>
    </xf>
    <xf numFmtId="0" fontId="4" fillId="0" borderId="86" xfId="0" quotePrefix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indent="1"/>
    </xf>
    <xf numFmtId="0" fontId="3" fillId="0" borderId="12" xfId="0" applyFont="1" applyBorder="1" applyAlignment="1">
      <alignment horizontal="left" indent="1"/>
    </xf>
    <xf numFmtId="0" fontId="3" fillId="0" borderId="2" xfId="0" applyFont="1" applyBorder="1" applyAlignment="1">
      <alignment horizontal="left" indent="1"/>
    </xf>
    <xf numFmtId="0" fontId="3" fillId="0" borderId="90" xfId="0" applyFont="1" applyBorder="1" applyAlignment="1">
      <alignment horizontal="left" indent="1"/>
    </xf>
    <xf numFmtId="0" fontId="3" fillId="0" borderId="5" xfId="0" applyFont="1" applyBorder="1" applyAlignment="1">
      <alignment horizontal="left" indent="1"/>
    </xf>
    <xf numFmtId="0" fontId="6" fillId="0" borderId="91" xfId="0" applyFont="1" applyBorder="1" applyAlignment="1">
      <alignment horizontal="left" indent="1"/>
    </xf>
    <xf numFmtId="0" fontId="6" fillId="0" borderId="2" xfId="0" applyFont="1" applyBorder="1" applyAlignment="1">
      <alignment horizontal="left" indent="1"/>
    </xf>
    <xf numFmtId="0" fontId="6" fillId="0" borderId="5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9" fontId="0" fillId="0" borderId="13" xfId="0" applyNumberFormat="1" applyFill="1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0" fillId="0" borderId="69" xfId="0" applyNumberFormat="1" applyBorder="1" applyAlignment="1">
      <alignment horizontal="center" vertical="center"/>
    </xf>
    <xf numFmtId="166" fontId="0" fillId="0" borderId="27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69" xfId="0" applyNumberFormat="1" applyBorder="1" applyAlignment="1">
      <alignment horizontal="center" vertical="center"/>
    </xf>
    <xf numFmtId="166" fontId="0" fillId="0" borderId="92" xfId="0" applyNumberFormat="1" applyBorder="1" applyAlignment="1">
      <alignment horizontal="center" vertical="center"/>
    </xf>
    <xf numFmtId="0" fontId="1" fillId="0" borderId="32" xfId="0" applyFont="1" applyBorder="1" applyAlignment="1">
      <alignment horizontal="left" vertical="center" indent="1"/>
    </xf>
    <xf numFmtId="0" fontId="2" fillId="0" borderId="40" xfId="0" applyFont="1" applyBorder="1"/>
    <xf numFmtId="0" fontId="6" fillId="0" borderId="2" xfId="0" quotePrefix="1" applyFont="1" applyBorder="1" applyAlignment="1">
      <alignment horizontal="left" indent="1"/>
    </xf>
    <xf numFmtId="0" fontId="8" fillId="0" borderId="0" xfId="0" quotePrefix="1" applyFont="1" applyBorder="1" applyAlignment="1">
      <alignment horizontal="left" vertical="center"/>
    </xf>
    <xf numFmtId="0" fontId="3" fillId="0" borderId="91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0" fillId="6" borderId="0" xfId="0" applyFill="1" applyBorder="1" applyAlignment="1">
      <alignment horizontal="center" vertical="center"/>
    </xf>
    <xf numFmtId="0" fontId="0" fillId="0" borderId="0" xfId="0" quotePrefix="1" applyBorder="1" applyAlignment="1">
      <alignment horizontal="left" vertical="center"/>
    </xf>
    <xf numFmtId="0" fontId="0" fillId="7" borderId="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166" fontId="0" fillId="7" borderId="2" xfId="0" applyNumberFormat="1" applyFill="1" applyBorder="1" applyAlignment="1">
      <alignment horizontal="center" vertical="center"/>
    </xf>
    <xf numFmtId="166" fontId="0" fillId="6" borderId="2" xfId="0" applyNumberFormat="1" applyFill="1" applyBorder="1" applyAlignment="1">
      <alignment horizontal="center" vertical="center"/>
    </xf>
    <xf numFmtId="166" fontId="0" fillId="8" borderId="2" xfId="0" applyNumberFormat="1" applyFill="1" applyBorder="1" applyAlignment="1">
      <alignment horizontal="center" vertical="center"/>
    </xf>
    <xf numFmtId="166" fontId="0" fillId="6" borderId="83" xfId="0" applyNumberFormat="1" applyFill="1" applyBorder="1" applyAlignment="1">
      <alignment horizontal="center" vertical="center"/>
    </xf>
    <xf numFmtId="166" fontId="0" fillId="8" borderId="22" xfId="0" applyNumberFormat="1" applyFill="1" applyBorder="1" applyAlignment="1">
      <alignment horizontal="center" vertical="center"/>
    </xf>
    <xf numFmtId="166" fontId="0" fillId="8" borderId="13" xfId="0" applyNumberFormat="1" applyFill="1" applyBorder="1" applyAlignment="1">
      <alignment horizontal="center" vertical="center"/>
    </xf>
    <xf numFmtId="166" fontId="0" fillId="6" borderId="62" xfId="0" applyNumberFormat="1" applyFill="1" applyBorder="1" applyAlignment="1">
      <alignment horizontal="center" vertical="center"/>
    </xf>
    <xf numFmtId="166" fontId="0" fillId="8" borderId="58" xfId="0" applyNumberForma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166" fontId="0" fillId="9" borderId="62" xfId="0" applyNumberFormat="1" applyFill="1" applyBorder="1" applyAlignment="1">
      <alignment horizontal="center" vertical="center"/>
    </xf>
    <xf numFmtId="166" fontId="0" fillId="9" borderId="2" xfId="0" applyNumberFormat="1" applyFill="1" applyBorder="1" applyAlignment="1">
      <alignment horizontal="center" vertical="center"/>
    </xf>
    <xf numFmtId="166" fontId="0" fillId="9" borderId="58" xfId="0" applyNumberFormat="1" applyFill="1" applyBorder="1" applyAlignment="1">
      <alignment horizontal="center" vertical="center"/>
    </xf>
    <xf numFmtId="166" fontId="0" fillId="9" borderId="83" xfId="0" applyNumberFormat="1" applyFill="1" applyBorder="1" applyAlignment="1">
      <alignment horizontal="center" vertical="center"/>
    </xf>
    <xf numFmtId="166" fontId="0" fillId="9" borderId="51" xfId="0" applyNumberFormat="1" applyFill="1" applyBorder="1" applyAlignment="1">
      <alignment horizontal="center" vertical="center"/>
    </xf>
    <xf numFmtId="166" fontId="0" fillId="8" borderId="62" xfId="0" applyNumberFormat="1" applyFill="1" applyBorder="1" applyAlignment="1">
      <alignment horizontal="center" vertical="center"/>
    </xf>
    <xf numFmtId="166" fontId="0" fillId="8" borderId="83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89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2" fillId="12" borderId="89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  <xf numFmtId="0" fontId="2" fillId="12" borderId="2" xfId="0" quotePrefix="1" applyFont="1" applyFill="1" applyBorder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12" borderId="5" xfId="0" quotePrefix="1" applyFont="1" applyFill="1" applyBorder="1" applyAlignment="1">
      <alignment horizontal="center"/>
    </xf>
    <xf numFmtId="0" fontId="2" fillId="13" borderId="54" xfId="0" applyFont="1" applyFill="1" applyBorder="1" applyAlignment="1">
      <alignment horizontal="center"/>
    </xf>
    <xf numFmtId="0" fontId="2" fillId="13" borderId="2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2" fillId="11" borderId="89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2" fillId="11" borderId="2" xfId="0" quotePrefix="1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11" borderId="5" xfId="0" quotePrefix="1" applyFont="1" applyFill="1" applyBorder="1" applyAlignment="1">
      <alignment horizontal="center"/>
    </xf>
    <xf numFmtId="0" fontId="1" fillId="0" borderId="0" xfId="0" quotePrefix="1" applyFont="1" applyAlignment="1">
      <alignment horizontal="left"/>
    </xf>
    <xf numFmtId="166" fontId="1" fillId="0" borderId="0" xfId="0" applyNumberFormat="1" applyFont="1"/>
    <xf numFmtId="0" fontId="0" fillId="10" borderId="54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10" xfId="0" quotePrefix="1" applyFont="1" applyBorder="1" applyAlignment="1">
      <alignment horizontal="left" vertical="center" indent="1"/>
    </xf>
    <xf numFmtId="0" fontId="0" fillId="13" borderId="2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9" fillId="0" borderId="47" xfId="0" applyFont="1" applyBorder="1" applyAlignment="1">
      <alignment horizontal="left" vertical="center" wrapText="1" indent="1"/>
    </xf>
    <xf numFmtId="164" fontId="1" fillId="0" borderId="0" xfId="0" applyNumberFormat="1" applyFont="1"/>
    <xf numFmtId="167" fontId="0" fillId="13" borderId="83" xfId="0" applyNumberFormat="1" applyFill="1" applyBorder="1" applyAlignment="1">
      <alignment horizontal="center" vertical="center"/>
    </xf>
    <xf numFmtId="167" fontId="0" fillId="13" borderId="69" xfId="0" applyNumberFormat="1" applyFill="1" applyBorder="1" applyAlignment="1">
      <alignment horizontal="center" vertical="center"/>
    </xf>
    <xf numFmtId="0" fontId="0" fillId="10" borderId="58" xfId="0" applyFill="1" applyBorder="1" applyAlignment="1">
      <alignment horizontal="center"/>
    </xf>
    <xf numFmtId="0" fontId="0" fillId="10" borderId="83" xfId="0" applyFill="1" applyBorder="1" applyAlignment="1">
      <alignment horizontal="center"/>
    </xf>
    <xf numFmtId="0" fontId="0" fillId="10" borderId="90" xfId="0" applyFill="1" applyBorder="1" applyAlignment="1">
      <alignment horizontal="center"/>
    </xf>
    <xf numFmtId="0" fontId="0" fillId="10" borderId="93" xfId="0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9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quotePrefix="1" applyFont="1" applyBorder="1" applyAlignment="1">
      <alignment vertical="center" wrapText="1"/>
    </xf>
    <xf numFmtId="165" fontId="2" fillId="0" borderId="0" xfId="0" applyNumberFormat="1" applyFont="1" applyBorder="1"/>
    <xf numFmtId="0" fontId="2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3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7" fillId="0" borderId="12" xfId="0" quotePrefix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 indent="1"/>
    </xf>
    <xf numFmtId="0" fontId="5" fillId="0" borderId="40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5" fillId="0" borderId="4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1"/>
    </xf>
    <xf numFmtId="0" fontId="3" fillId="0" borderId="42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2" fillId="0" borderId="0" xfId="0" applyFont="1" applyBorder="1" applyAlignment="1">
      <alignment horizontal="left" indent="1"/>
    </xf>
    <xf numFmtId="0" fontId="3" fillId="13" borderId="40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horizontal="center" vertical="center" wrapText="1"/>
    </xf>
    <xf numFmtId="0" fontId="3" fillId="13" borderId="9" xfId="0" applyFont="1" applyFill="1" applyBorder="1" applyAlignment="1">
      <alignment horizontal="center" vertical="center" wrapText="1"/>
    </xf>
    <xf numFmtId="0" fontId="3" fillId="13" borderId="88" xfId="0" applyFont="1" applyFill="1" applyBorder="1" applyAlignment="1">
      <alignment horizontal="center" vertical="center" wrapText="1"/>
    </xf>
    <xf numFmtId="0" fontId="3" fillId="13" borderId="81" xfId="0" applyFont="1" applyFill="1" applyBorder="1" applyAlignment="1">
      <alignment horizontal="center" vertical="center" wrapText="1"/>
    </xf>
    <xf numFmtId="0" fontId="2" fillId="13" borderId="94" xfId="0" applyFont="1" applyFill="1" applyBorder="1" applyAlignment="1">
      <alignment horizontal="center"/>
    </xf>
    <xf numFmtId="0" fontId="2" fillId="13" borderId="95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12" borderId="6" xfId="0" quotePrefix="1" applyFont="1" applyFill="1" applyBorder="1" applyAlignment="1">
      <alignment horizontal="center" vertical="center" wrapText="1"/>
    </xf>
    <xf numFmtId="0" fontId="2" fillId="12" borderId="8" xfId="0" quotePrefix="1" applyFont="1" applyFill="1" applyBorder="1" applyAlignment="1">
      <alignment horizontal="center" vertical="center" wrapText="1"/>
    </xf>
    <xf numFmtId="0" fontId="2" fillId="12" borderId="56" xfId="0" quotePrefix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53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53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/>
    </xf>
    <xf numFmtId="0" fontId="4" fillId="10" borderId="40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0" fontId="4" fillId="10" borderId="41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40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4" fillId="12" borderId="41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2" fillId="12" borderId="1" xfId="0" quotePrefix="1" applyFont="1" applyFill="1" applyBorder="1" applyAlignment="1">
      <alignment horizontal="center" vertical="center" wrapText="1"/>
    </xf>
    <xf numFmtId="0" fontId="2" fillId="12" borderId="4" xfId="0" quotePrefix="1" applyFont="1" applyFill="1" applyBorder="1" applyAlignment="1">
      <alignment horizontal="center" vertical="center" wrapText="1"/>
    </xf>
    <xf numFmtId="0" fontId="2" fillId="12" borderId="53" xfId="0" quotePrefix="1" applyFont="1" applyFill="1" applyBorder="1" applyAlignment="1">
      <alignment horizontal="center" vertical="center" wrapText="1"/>
    </xf>
    <xf numFmtId="0" fontId="2" fillId="12" borderId="9" xfId="0" quotePrefix="1" applyFont="1" applyFill="1" applyBorder="1" applyAlignment="1">
      <alignment horizontal="center" vertical="center" wrapText="1"/>
    </xf>
    <xf numFmtId="0" fontId="2" fillId="12" borderId="9" xfId="0" applyFont="1" applyFill="1" applyBorder="1" applyAlignment="1">
      <alignment horizontal="center" vertical="center" wrapText="1"/>
    </xf>
    <xf numFmtId="0" fontId="2" fillId="12" borderId="81" xfId="0" applyFont="1" applyFill="1" applyBorder="1" applyAlignment="1">
      <alignment horizontal="center" vertical="center" wrapText="1"/>
    </xf>
    <xf numFmtId="0" fontId="2" fillId="11" borderId="1" xfId="0" quotePrefix="1" applyFont="1" applyFill="1" applyBorder="1" applyAlignment="1">
      <alignment horizontal="center" vertical="center" wrapText="1"/>
    </xf>
    <xf numFmtId="0" fontId="2" fillId="11" borderId="4" xfId="0" quotePrefix="1" applyFont="1" applyFill="1" applyBorder="1" applyAlignment="1">
      <alignment horizontal="center" vertical="center" wrapText="1"/>
    </xf>
    <xf numFmtId="0" fontId="2" fillId="11" borderId="53" xfId="0" quotePrefix="1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7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1" borderId="41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2" fillId="11" borderId="9" xfId="0" quotePrefix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81" xfId="0" applyFont="1" applyFill="1" applyBorder="1" applyAlignment="1">
      <alignment horizontal="center" vertical="center" wrapText="1"/>
    </xf>
    <xf numFmtId="0" fontId="2" fillId="11" borderId="8" xfId="0" quotePrefix="1" applyFont="1" applyFill="1" applyBorder="1" applyAlignment="1">
      <alignment horizontal="center" vertical="center" wrapText="1"/>
    </xf>
    <xf numFmtId="0" fontId="2" fillId="11" borderId="56" xfId="0" quotePrefix="1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3" fillId="0" borderId="96" xfId="0" applyFont="1" applyBorder="1" applyAlignment="1">
      <alignment horizontal="center"/>
    </xf>
    <xf numFmtId="0" fontId="3" fillId="0" borderId="94" xfId="0" applyFont="1" applyBorder="1" applyAlignment="1">
      <alignment horizontal="left" indent="1"/>
    </xf>
    <xf numFmtId="0" fontId="3" fillId="0" borderId="95" xfId="0" applyFont="1" applyBorder="1" applyAlignment="1">
      <alignment horizontal="left" indent="1"/>
    </xf>
    <xf numFmtId="0" fontId="3" fillId="0" borderId="23" xfId="0" quotePrefix="1" applyFont="1" applyBorder="1" applyAlignment="1">
      <alignment horizontal="left" vertical="center" indent="1"/>
    </xf>
    <xf numFmtId="0" fontId="2" fillId="14" borderId="23" xfId="0" applyFont="1" applyFill="1" applyBorder="1" applyAlignment="1">
      <alignment horizontal="left" vertical="center" indent="1"/>
    </xf>
    <xf numFmtId="0" fontId="2" fillId="14" borderId="70" xfId="0" applyFont="1" applyFill="1" applyBorder="1" applyAlignment="1">
      <alignment horizontal="left" vertical="center" indent="1"/>
    </xf>
    <xf numFmtId="0" fontId="2" fillId="14" borderId="12" xfId="0" applyFont="1" applyFill="1" applyBorder="1" applyAlignment="1">
      <alignment horizontal="center" vertical="center"/>
    </xf>
    <xf numFmtId="0" fontId="2" fillId="14" borderId="10" xfId="0" applyFont="1" applyFill="1" applyBorder="1" applyAlignment="1">
      <alignment horizontal="left" vertical="center" indent="1"/>
    </xf>
    <xf numFmtId="0" fontId="2" fillId="14" borderId="11" xfId="0" applyFont="1" applyFill="1" applyBorder="1" applyAlignment="1">
      <alignment horizontal="left" vertical="center" indent="1"/>
    </xf>
    <xf numFmtId="0" fontId="2" fillId="14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FFFE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BFFDB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F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B16"/>
  <sheetViews>
    <sheetView workbookViewId="0"/>
  </sheetViews>
  <sheetFormatPr defaultRowHeight="12.75" x14ac:dyDescent="0.2"/>
  <cols>
    <col min="1" max="1" width="19.140625" customWidth="1"/>
  </cols>
  <sheetData>
    <row r="2" spans="1:2" x14ac:dyDescent="0.2">
      <c r="A2" s="12" t="s">
        <v>41</v>
      </c>
      <c r="B2" t="s">
        <v>42</v>
      </c>
    </row>
    <row r="3" spans="1:2" x14ac:dyDescent="0.2">
      <c r="A3" s="12" t="s">
        <v>43</v>
      </c>
      <c r="B3" t="s">
        <v>44</v>
      </c>
    </row>
    <row r="5" spans="1:2" x14ac:dyDescent="0.2">
      <c r="A5" s="12" t="s">
        <v>33</v>
      </c>
      <c r="B5" t="s">
        <v>34</v>
      </c>
    </row>
    <row r="6" spans="1:2" x14ac:dyDescent="0.2">
      <c r="A6" s="12" t="s">
        <v>35</v>
      </c>
      <c r="B6" t="s">
        <v>36</v>
      </c>
    </row>
    <row r="8" spans="1:2" x14ac:dyDescent="0.2">
      <c r="A8" s="12" t="s">
        <v>32</v>
      </c>
      <c r="B8" s="1" t="s">
        <v>49</v>
      </c>
    </row>
    <row r="9" spans="1:2" x14ac:dyDescent="0.2">
      <c r="A9" s="12" t="s">
        <v>30</v>
      </c>
      <c r="B9" t="s">
        <v>31</v>
      </c>
    </row>
    <row r="11" spans="1:2" x14ac:dyDescent="0.2">
      <c r="A11" s="12" t="s">
        <v>37</v>
      </c>
      <c r="B11" t="s">
        <v>38</v>
      </c>
    </row>
    <row r="12" spans="1:2" x14ac:dyDescent="0.2">
      <c r="A12" s="12" t="s">
        <v>39</v>
      </c>
      <c r="B12" t="s">
        <v>40</v>
      </c>
    </row>
    <row r="13" spans="1:2" x14ac:dyDescent="0.2">
      <c r="A13" s="12" t="s">
        <v>45</v>
      </c>
      <c r="B13" s="1" t="s">
        <v>46</v>
      </c>
    </row>
    <row r="16" spans="1:2" x14ac:dyDescent="0.2">
      <c r="A16" s="12"/>
      <c r="B16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workbookViewId="0">
      <pane ySplit="3" topLeftCell="A46" activePane="bottomLeft" state="frozen"/>
      <selection pane="bottomLeft" activeCell="B62" sqref="B62"/>
    </sheetView>
  </sheetViews>
  <sheetFormatPr defaultRowHeight="15.95" customHeight="1" x14ac:dyDescent="0.2"/>
  <cols>
    <col min="1" max="1" width="19.42578125" style="76" customWidth="1"/>
    <col min="2" max="25" width="11.7109375" style="77" customWidth="1"/>
    <col min="26" max="26" width="11.7109375" style="76" customWidth="1"/>
    <col min="27" max="16384" width="9.140625" style="76"/>
  </cols>
  <sheetData>
    <row r="1" spans="1:26" s="89" customFormat="1" ht="27.75" customHeight="1" x14ac:dyDescent="0.2">
      <c r="A1" s="87"/>
      <c r="B1" s="88"/>
      <c r="C1" s="233"/>
      <c r="D1" s="144"/>
      <c r="E1" s="88"/>
      <c r="F1" s="88"/>
      <c r="G1" s="88"/>
      <c r="H1" s="144"/>
      <c r="I1" s="257" t="s">
        <v>94</v>
      </c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9"/>
    </row>
    <row r="2" spans="1:26" s="89" customFormat="1" ht="21" customHeight="1" x14ac:dyDescent="0.2">
      <c r="A2" s="90"/>
      <c r="B2" s="91"/>
      <c r="C2" s="91"/>
      <c r="D2" s="91"/>
      <c r="E2" s="91"/>
      <c r="F2" s="91"/>
      <c r="G2" s="91"/>
      <c r="H2" s="91"/>
      <c r="I2" s="260" t="s">
        <v>95</v>
      </c>
      <c r="J2" s="261"/>
      <c r="K2" s="261"/>
      <c r="L2" s="261"/>
      <c r="M2" s="261"/>
      <c r="N2" s="261"/>
      <c r="O2" s="261"/>
      <c r="P2" s="261"/>
      <c r="Q2" s="261"/>
      <c r="R2" s="260" t="s">
        <v>96</v>
      </c>
      <c r="S2" s="261"/>
      <c r="T2" s="261"/>
      <c r="U2" s="261"/>
      <c r="V2" s="261"/>
      <c r="W2" s="261"/>
      <c r="X2" s="261"/>
      <c r="Y2" s="261"/>
      <c r="Z2" s="262"/>
    </row>
    <row r="3" spans="1:26" s="74" customFormat="1" ht="33" customHeight="1" thickBot="1" x14ac:dyDescent="0.25">
      <c r="A3" s="147" t="s">
        <v>72</v>
      </c>
      <c r="B3" s="148" t="s">
        <v>201</v>
      </c>
      <c r="C3" s="148" t="s">
        <v>202</v>
      </c>
      <c r="D3" s="162" t="s">
        <v>118</v>
      </c>
      <c r="E3" s="148" t="s">
        <v>78</v>
      </c>
      <c r="F3" s="148" t="s">
        <v>79</v>
      </c>
      <c r="G3" s="148" t="s">
        <v>102</v>
      </c>
      <c r="H3" s="149" t="s">
        <v>107</v>
      </c>
      <c r="I3" s="86" t="s">
        <v>80</v>
      </c>
      <c r="J3" s="79" t="s">
        <v>81</v>
      </c>
      <c r="K3" s="79" t="s">
        <v>82</v>
      </c>
      <c r="L3" s="79" t="s">
        <v>83</v>
      </c>
      <c r="M3" s="79" t="s">
        <v>4</v>
      </c>
      <c r="N3" s="79" t="s">
        <v>84</v>
      </c>
      <c r="O3" s="79" t="s">
        <v>85</v>
      </c>
      <c r="P3" s="79" t="s">
        <v>28</v>
      </c>
      <c r="Q3" s="85" t="s">
        <v>86</v>
      </c>
      <c r="R3" s="86" t="s">
        <v>64</v>
      </c>
      <c r="S3" s="138" t="s">
        <v>87</v>
      </c>
      <c r="T3" s="79" t="s">
        <v>88</v>
      </c>
      <c r="U3" s="79" t="s">
        <v>89</v>
      </c>
      <c r="V3" s="79" t="s">
        <v>90</v>
      </c>
      <c r="W3" s="79" t="s">
        <v>91</v>
      </c>
      <c r="X3" s="79" t="s">
        <v>92</v>
      </c>
      <c r="Y3" s="79" t="s">
        <v>93</v>
      </c>
      <c r="Z3" s="75" t="s">
        <v>65</v>
      </c>
    </row>
    <row r="4" spans="1:26" s="74" customFormat="1" ht="9.75" customHeight="1" thickTop="1" x14ac:dyDescent="0.2">
      <c r="A4" s="238" t="s">
        <v>204</v>
      </c>
      <c r="B4" s="80"/>
      <c r="C4" s="80"/>
      <c r="D4" s="80"/>
      <c r="E4" s="80"/>
      <c r="F4" s="80"/>
      <c r="G4" s="93"/>
      <c r="H4" s="139"/>
      <c r="I4" s="92"/>
      <c r="J4" s="93"/>
      <c r="K4" s="93"/>
      <c r="L4" s="93"/>
      <c r="M4" s="93"/>
      <c r="N4" s="93"/>
      <c r="O4" s="93"/>
      <c r="P4" s="93"/>
      <c r="Q4" s="101"/>
      <c r="R4" s="92"/>
      <c r="S4" s="139"/>
      <c r="T4" s="93"/>
      <c r="U4" s="93"/>
      <c r="V4" s="93"/>
      <c r="W4" s="93"/>
      <c r="X4" s="93"/>
      <c r="Y4" s="93"/>
      <c r="Z4" s="94"/>
    </row>
    <row r="5" spans="1:26" ht="15.95" customHeight="1" x14ac:dyDescent="0.2">
      <c r="A5" s="143" t="s">
        <v>144</v>
      </c>
      <c r="B5" s="81">
        <v>1198</v>
      </c>
      <c r="C5" s="236">
        <v>1080</v>
      </c>
      <c r="D5" s="150">
        <v>0.1</v>
      </c>
      <c r="E5" s="81">
        <v>8</v>
      </c>
      <c r="F5" s="81">
        <v>136</v>
      </c>
      <c r="G5" s="142">
        <v>8</v>
      </c>
      <c r="H5" s="240">
        <v>200</v>
      </c>
      <c r="I5" s="95">
        <v>1.5900000000000001E-2</v>
      </c>
      <c r="J5" s="96">
        <v>1.7500000000000002E-2</v>
      </c>
      <c r="K5" s="96">
        <v>2.3400000000000001E-2</v>
      </c>
      <c r="L5" s="96">
        <v>2.0899999999999998E-2</v>
      </c>
      <c r="M5" s="96">
        <v>1.9199999999999998E-2</v>
      </c>
      <c r="N5" s="96">
        <v>1.34E-2</v>
      </c>
      <c r="O5" s="96">
        <v>9.1999999999999998E-3</v>
      </c>
      <c r="P5" s="96">
        <v>1.09E-2</v>
      </c>
      <c r="Q5" s="102">
        <v>1.2500000000000001E-2</v>
      </c>
      <c r="R5" s="95">
        <v>0.1152</v>
      </c>
      <c r="S5" s="140">
        <v>1.2500000000000001E-2</v>
      </c>
      <c r="T5" s="96">
        <v>0.02</v>
      </c>
      <c r="U5" s="96">
        <v>8.3500000000000005E-2</v>
      </c>
      <c r="V5" s="96">
        <v>2.1700000000000001E-2</v>
      </c>
      <c r="W5" s="96">
        <v>1.4999999999999999E-2</v>
      </c>
      <c r="X5" s="96">
        <v>2.5899999999999999E-2</v>
      </c>
      <c r="Y5" s="96">
        <v>4.3400000000000001E-2</v>
      </c>
      <c r="Z5" s="97">
        <v>6.0100000000000001E-2</v>
      </c>
    </row>
    <row r="6" spans="1:26" ht="15.95" customHeight="1" x14ac:dyDescent="0.2">
      <c r="A6" s="143" t="s">
        <v>138</v>
      </c>
      <c r="B6" s="81">
        <v>1241</v>
      </c>
      <c r="C6" s="236">
        <v>1027</v>
      </c>
      <c r="D6" s="150">
        <v>0.2</v>
      </c>
      <c r="E6" s="81">
        <v>3</v>
      </c>
      <c r="F6" s="81">
        <v>243</v>
      </c>
      <c r="G6" s="142">
        <v>2</v>
      </c>
      <c r="H6" s="240">
        <v>240</v>
      </c>
      <c r="I6" s="95">
        <v>1.77E-2</v>
      </c>
      <c r="J6" s="96">
        <v>1.77E-2</v>
      </c>
      <c r="K6" s="96">
        <v>6.7699999999999996E-2</v>
      </c>
      <c r="L6" s="96">
        <v>2.1000000000000001E-2</v>
      </c>
      <c r="M6" s="96">
        <v>1.0500000000000001E-2</v>
      </c>
      <c r="N6" s="96">
        <v>1.21E-2</v>
      </c>
      <c r="O6" s="96">
        <v>1.9300000000000001E-2</v>
      </c>
      <c r="P6" s="96">
        <v>1.21E-2</v>
      </c>
      <c r="Q6" s="102">
        <v>5.6399999999999999E-2</v>
      </c>
      <c r="R6" s="95">
        <v>1.4500000000000001E-2</v>
      </c>
      <c r="S6" s="140">
        <v>2.58E-2</v>
      </c>
      <c r="T6" s="96">
        <v>5.6399999999999999E-2</v>
      </c>
      <c r="U6" s="96">
        <v>5.6399999999999999E-2</v>
      </c>
      <c r="V6" s="96">
        <v>1.4500000000000001E-2</v>
      </c>
      <c r="W6" s="96">
        <v>1.4500000000000001E-2</v>
      </c>
      <c r="X6" s="96">
        <v>3.1399999999999997E-2</v>
      </c>
      <c r="Y6" s="96">
        <v>2.6599999999999999E-2</v>
      </c>
      <c r="Z6" s="97">
        <v>1.77E-2</v>
      </c>
    </row>
    <row r="7" spans="1:26" ht="15.95" customHeight="1" x14ac:dyDescent="0.2">
      <c r="A7" s="143" t="s">
        <v>137</v>
      </c>
      <c r="B7" s="81">
        <v>1079</v>
      </c>
      <c r="C7" s="236">
        <v>972</v>
      </c>
      <c r="D7" s="150">
        <v>0.1</v>
      </c>
      <c r="E7" s="81">
        <v>8</v>
      </c>
      <c r="F7" s="81">
        <v>216</v>
      </c>
      <c r="G7" s="142">
        <v>8</v>
      </c>
      <c r="H7" s="240">
        <v>200</v>
      </c>
      <c r="I7" s="95">
        <v>1.2999999999999999E-2</v>
      </c>
      <c r="J7" s="96">
        <v>3.0599999999999999E-2</v>
      </c>
      <c r="K7" s="96">
        <v>1.0200000000000001E-2</v>
      </c>
      <c r="L7" s="96">
        <v>5.3800000000000001E-2</v>
      </c>
      <c r="M7" s="96">
        <v>1.2E-2</v>
      </c>
      <c r="N7" s="96">
        <v>1.0200000000000001E-2</v>
      </c>
      <c r="O7" s="96">
        <v>5.1900000000000002E-2</v>
      </c>
      <c r="P7" s="96">
        <v>2.5899999999999999E-2</v>
      </c>
      <c r="Q7" s="102">
        <v>1.4800000000000001E-2</v>
      </c>
      <c r="R7" s="95">
        <v>4.36E-2</v>
      </c>
      <c r="S7" s="140">
        <v>2.41E-2</v>
      </c>
      <c r="T7" s="194">
        <v>0.60060000000000002</v>
      </c>
      <c r="U7" s="96">
        <v>2.5899999999999999E-2</v>
      </c>
      <c r="V7" s="96">
        <v>2.1299999999999999E-2</v>
      </c>
      <c r="W7" s="96">
        <v>1.5800000000000002E-2</v>
      </c>
      <c r="X7" s="96">
        <v>3.15E-2</v>
      </c>
      <c r="Y7" s="96">
        <v>7.2300000000000003E-2</v>
      </c>
      <c r="Z7" s="97">
        <v>0.15110000000000001</v>
      </c>
    </row>
    <row r="8" spans="1:26" ht="15.95" customHeight="1" x14ac:dyDescent="0.2">
      <c r="A8" s="83" t="s">
        <v>73</v>
      </c>
      <c r="B8" s="202"/>
      <c r="C8" s="236"/>
      <c r="D8" s="150">
        <v>0.1</v>
      </c>
      <c r="E8" s="81">
        <v>15</v>
      </c>
      <c r="F8" s="81">
        <v>240</v>
      </c>
      <c r="G8" s="142">
        <v>8</v>
      </c>
      <c r="H8" s="240">
        <v>226</v>
      </c>
      <c r="I8" s="203"/>
      <c r="J8" s="204"/>
      <c r="K8" s="204"/>
      <c r="L8" s="204"/>
      <c r="M8" s="204"/>
      <c r="N8" s="204"/>
      <c r="O8" s="204"/>
      <c r="P8" s="204"/>
      <c r="Q8" s="205"/>
      <c r="R8" s="203"/>
      <c r="S8" s="206"/>
      <c r="T8" s="204"/>
      <c r="U8" s="204"/>
      <c r="V8" s="204"/>
      <c r="W8" s="204"/>
      <c r="X8" s="204"/>
      <c r="Y8" s="204"/>
      <c r="Z8" s="207"/>
    </row>
    <row r="9" spans="1:26" ht="15.95" customHeight="1" x14ac:dyDescent="0.2">
      <c r="A9" s="143" t="s">
        <v>173</v>
      </c>
      <c r="B9" s="81">
        <v>1241</v>
      </c>
      <c r="C9" s="236">
        <v>1027</v>
      </c>
      <c r="D9" s="150">
        <v>0.2</v>
      </c>
      <c r="E9" s="81">
        <v>8</v>
      </c>
      <c r="F9" s="81">
        <v>230</v>
      </c>
      <c r="G9" s="142">
        <v>1</v>
      </c>
      <c r="H9" s="240">
        <v>200</v>
      </c>
      <c r="I9" s="95">
        <v>1.21E-2</v>
      </c>
      <c r="J9" s="96">
        <v>2.6599999999999999E-2</v>
      </c>
      <c r="K9" s="96">
        <v>4.6699999999999998E-2</v>
      </c>
      <c r="L9" s="96">
        <v>2.18E-2</v>
      </c>
      <c r="M9" s="96">
        <v>2.98E-2</v>
      </c>
      <c r="N9" s="96">
        <v>1.77E-2</v>
      </c>
      <c r="O9" s="96">
        <v>1.21E-2</v>
      </c>
      <c r="P9" s="96">
        <v>1.21E-2</v>
      </c>
      <c r="Q9" s="102">
        <v>1.21E-2</v>
      </c>
      <c r="R9" s="95">
        <v>1.77E-2</v>
      </c>
      <c r="S9" s="140">
        <v>1.21E-2</v>
      </c>
      <c r="T9" s="96">
        <v>1.4500000000000001E-2</v>
      </c>
      <c r="U9" s="96">
        <v>1.4500000000000001E-2</v>
      </c>
      <c r="V9" s="96">
        <v>2.18E-2</v>
      </c>
      <c r="W9" s="96">
        <v>4.6699999999999998E-2</v>
      </c>
      <c r="X9" s="96">
        <v>1.77E-2</v>
      </c>
      <c r="Y9" s="96">
        <v>3.2199999999999999E-2</v>
      </c>
      <c r="Z9" s="97">
        <v>1.21E-2</v>
      </c>
    </row>
    <row r="10" spans="1:26" ht="15.95" customHeight="1" x14ac:dyDescent="0.2">
      <c r="A10" s="143" t="s">
        <v>114</v>
      </c>
      <c r="B10" s="146">
        <v>784</v>
      </c>
      <c r="C10" s="236">
        <v>704</v>
      </c>
      <c r="D10" s="150">
        <v>0.1</v>
      </c>
      <c r="E10" s="146">
        <v>4</v>
      </c>
      <c r="F10" s="146">
        <v>97</v>
      </c>
      <c r="G10" s="160">
        <v>3</v>
      </c>
      <c r="H10" s="161">
        <v>180</v>
      </c>
      <c r="I10" s="155">
        <v>1.0200000000000001E-2</v>
      </c>
      <c r="J10" s="156">
        <v>1.9099999999999999E-2</v>
      </c>
      <c r="K10" s="194">
        <v>0.51019999999999999</v>
      </c>
      <c r="L10" s="156">
        <v>9.3100000000000002E-2</v>
      </c>
      <c r="M10" s="156">
        <v>1.4E-2</v>
      </c>
      <c r="N10" s="156">
        <v>2.1700000000000001E-2</v>
      </c>
      <c r="O10" s="156">
        <v>9.4399999999999998E-2</v>
      </c>
      <c r="P10" s="156">
        <v>3.0599999999999999E-2</v>
      </c>
      <c r="Q10" s="157">
        <v>9.3100000000000002E-2</v>
      </c>
      <c r="R10" s="155">
        <v>4.3400000000000001E-2</v>
      </c>
      <c r="S10" s="158">
        <v>1.24E-2</v>
      </c>
      <c r="T10" s="156">
        <v>0.15859999999999999</v>
      </c>
      <c r="U10" s="156">
        <v>1.7299999999999999E-2</v>
      </c>
      <c r="V10" s="156">
        <v>3.9699999999999999E-2</v>
      </c>
      <c r="W10" s="156">
        <v>1.7299999999999999E-2</v>
      </c>
      <c r="X10" s="156">
        <v>3.5900000000000001E-2</v>
      </c>
      <c r="Y10" s="156">
        <v>0.15859999999999999</v>
      </c>
      <c r="Z10" s="159">
        <v>1.12E-2</v>
      </c>
    </row>
    <row r="11" spans="1:26" ht="15.95" customHeight="1" x14ac:dyDescent="0.2">
      <c r="A11" s="143" t="s">
        <v>158</v>
      </c>
      <c r="B11" s="81">
        <v>1241</v>
      </c>
      <c r="C11" s="236">
        <v>1027</v>
      </c>
      <c r="D11" s="150">
        <v>0.2</v>
      </c>
      <c r="E11" s="81">
        <v>10</v>
      </c>
      <c r="F11" s="81">
        <v>186</v>
      </c>
      <c r="G11" s="142">
        <v>6</v>
      </c>
      <c r="H11" s="240">
        <v>200</v>
      </c>
      <c r="I11" s="95">
        <v>1.4500000000000001E-2</v>
      </c>
      <c r="J11" s="96">
        <v>1.6899999999999998E-2</v>
      </c>
      <c r="K11" s="96">
        <v>1.21E-2</v>
      </c>
      <c r="L11" s="96">
        <v>1.4500000000000001E-2</v>
      </c>
      <c r="M11" s="96">
        <v>2.2599999999999999E-2</v>
      </c>
      <c r="N11" s="96">
        <v>0.1152</v>
      </c>
      <c r="O11" s="96">
        <v>1.77E-2</v>
      </c>
      <c r="P11" s="96">
        <v>3.2199999999999999E-2</v>
      </c>
      <c r="Q11" s="102">
        <v>2.7400000000000001E-2</v>
      </c>
      <c r="R11" s="95">
        <v>6.7699999999999996E-2</v>
      </c>
      <c r="S11" s="140">
        <v>1.1299999999999999E-2</v>
      </c>
      <c r="T11" s="96">
        <v>8.0600000000000005E-2</v>
      </c>
      <c r="U11" s="96">
        <v>1.21E-2</v>
      </c>
      <c r="V11" s="96">
        <v>2.7400000000000001E-2</v>
      </c>
      <c r="W11" s="96">
        <v>1.21E-2</v>
      </c>
      <c r="X11" s="96">
        <v>3.8699999999999998E-2</v>
      </c>
      <c r="Y11" s="96">
        <v>1.4500000000000001E-2</v>
      </c>
      <c r="Z11" s="97">
        <v>2.98E-2</v>
      </c>
    </row>
    <row r="12" spans="1:26" ht="15.95" customHeight="1" x14ac:dyDescent="0.2">
      <c r="A12" s="143" t="s">
        <v>159</v>
      </c>
      <c r="B12" s="81">
        <v>501</v>
      </c>
      <c r="C12" s="236">
        <v>447</v>
      </c>
      <c r="D12" s="150">
        <v>0.1</v>
      </c>
      <c r="E12" s="81">
        <v>5</v>
      </c>
      <c r="F12" s="81">
        <v>178</v>
      </c>
      <c r="G12" s="142">
        <v>4</v>
      </c>
      <c r="H12" s="240">
        <v>200</v>
      </c>
      <c r="I12" s="95">
        <v>1.4E-2</v>
      </c>
      <c r="J12" s="96">
        <v>1.2E-2</v>
      </c>
      <c r="K12" s="96">
        <v>3.9899999999999998E-2</v>
      </c>
      <c r="L12" s="96">
        <v>2.5899999999999999E-2</v>
      </c>
      <c r="M12" s="96">
        <v>9.1800000000000007E-2</v>
      </c>
      <c r="N12" s="96">
        <v>0.02</v>
      </c>
      <c r="O12" s="96">
        <v>3.39E-2</v>
      </c>
      <c r="P12" s="96">
        <v>4.3900000000000002E-2</v>
      </c>
      <c r="Q12" s="102">
        <v>6.0000000000000001E-3</v>
      </c>
      <c r="R12" s="95">
        <v>1.4E-2</v>
      </c>
      <c r="S12" s="140">
        <v>4.5900000000000003E-2</v>
      </c>
      <c r="T12" s="96">
        <v>1.2E-2</v>
      </c>
      <c r="U12" s="96">
        <v>1.2E-2</v>
      </c>
      <c r="V12" s="96">
        <v>6.9900000000000004E-2</v>
      </c>
      <c r="W12" s="96">
        <v>8.0000000000000002E-3</v>
      </c>
      <c r="X12" s="96">
        <v>0.21759999999999999</v>
      </c>
      <c r="Y12" s="96">
        <v>0.01</v>
      </c>
      <c r="Z12" s="97">
        <v>0.01</v>
      </c>
    </row>
    <row r="13" spans="1:26" ht="15.95" customHeight="1" x14ac:dyDescent="0.2">
      <c r="A13" s="143" t="s">
        <v>143</v>
      </c>
      <c r="B13" s="146">
        <v>698</v>
      </c>
      <c r="C13" s="236">
        <v>575</v>
      </c>
      <c r="D13" s="150">
        <v>0.2</v>
      </c>
      <c r="E13" s="146">
        <v>8</v>
      </c>
      <c r="F13" s="146">
        <v>118</v>
      </c>
      <c r="G13" s="160">
        <v>5</v>
      </c>
      <c r="H13" s="240">
        <v>200</v>
      </c>
      <c r="I13" s="155">
        <v>1.43E-2</v>
      </c>
      <c r="J13" s="156">
        <v>8.6E-3</v>
      </c>
      <c r="K13" s="156">
        <v>1.43E-2</v>
      </c>
      <c r="L13" s="156">
        <v>4.7300000000000002E-2</v>
      </c>
      <c r="M13" s="156">
        <v>5.16E-2</v>
      </c>
      <c r="N13" s="156">
        <v>4.2999999999999997E-2</v>
      </c>
      <c r="O13" s="156">
        <v>3.15E-2</v>
      </c>
      <c r="P13" s="156">
        <v>1.72E-2</v>
      </c>
      <c r="Q13" s="157">
        <v>1.43E-2</v>
      </c>
      <c r="R13" s="155">
        <v>3.15E-2</v>
      </c>
      <c r="S13" s="158">
        <v>4.7300000000000002E-2</v>
      </c>
      <c r="T13" s="156">
        <v>3.8699999999999998E-2</v>
      </c>
      <c r="U13" s="156">
        <v>3.8699999999999998E-2</v>
      </c>
      <c r="V13" s="156">
        <v>2.58E-2</v>
      </c>
      <c r="W13" s="156">
        <v>1.72E-2</v>
      </c>
      <c r="X13" s="156">
        <v>4.87E-2</v>
      </c>
      <c r="Y13" s="194">
        <v>1</v>
      </c>
      <c r="Z13" s="159">
        <v>3.44E-2</v>
      </c>
    </row>
    <row r="14" spans="1:26" ht="15.95" customHeight="1" x14ac:dyDescent="0.2">
      <c r="A14" s="83" t="s">
        <v>74</v>
      </c>
      <c r="B14" s="81">
        <v>239</v>
      </c>
      <c r="C14" s="236">
        <v>209</v>
      </c>
      <c r="D14" s="150">
        <v>0.1</v>
      </c>
      <c r="E14" s="81">
        <v>5</v>
      </c>
      <c r="F14" s="81">
        <v>135</v>
      </c>
      <c r="G14" s="142">
        <v>6</v>
      </c>
      <c r="H14" s="145">
        <v>80</v>
      </c>
      <c r="I14" s="95">
        <v>2.0899999999999998E-2</v>
      </c>
      <c r="J14" s="96">
        <v>2.5100000000000001E-2</v>
      </c>
      <c r="K14" s="96">
        <v>2.5100000000000001E-2</v>
      </c>
      <c r="L14" s="96">
        <v>1.67E-2</v>
      </c>
      <c r="M14" s="96">
        <v>1.67E-2</v>
      </c>
      <c r="N14" s="96">
        <v>1.67E-2</v>
      </c>
      <c r="O14" s="195">
        <v>1</v>
      </c>
      <c r="P14" s="96">
        <v>0</v>
      </c>
      <c r="Q14" s="102">
        <v>0.159</v>
      </c>
      <c r="R14" s="95">
        <v>0</v>
      </c>
      <c r="S14" s="140">
        <v>7.5300000000000006E-2</v>
      </c>
      <c r="T14" s="96">
        <v>2.0899999999999998E-2</v>
      </c>
      <c r="U14" s="96">
        <v>6.2799999999999995E-2</v>
      </c>
      <c r="V14" s="96">
        <v>6.2799999999999995E-2</v>
      </c>
      <c r="W14" s="96">
        <v>3.3500000000000002E-2</v>
      </c>
      <c r="X14" s="96">
        <v>3.3500000000000002E-2</v>
      </c>
      <c r="Y14" s="96">
        <v>6.6900000000000001E-2</v>
      </c>
      <c r="Z14" s="97">
        <v>0</v>
      </c>
    </row>
    <row r="15" spans="1:26" ht="15.95" customHeight="1" x14ac:dyDescent="0.2">
      <c r="A15" s="143" t="s">
        <v>111</v>
      </c>
      <c r="B15" s="81">
        <v>446</v>
      </c>
      <c r="C15" s="236">
        <v>397</v>
      </c>
      <c r="D15" s="150">
        <v>0.1</v>
      </c>
      <c r="E15" s="81">
        <v>8</v>
      </c>
      <c r="F15" s="81">
        <v>146</v>
      </c>
      <c r="G15" s="142">
        <v>3</v>
      </c>
      <c r="H15" s="240">
        <v>200</v>
      </c>
      <c r="I15" s="95">
        <v>6.7000000000000002E-3</v>
      </c>
      <c r="J15" s="96">
        <v>2.47E-2</v>
      </c>
      <c r="K15" s="96">
        <v>6.0499999999999998E-2</v>
      </c>
      <c r="L15" s="96">
        <v>6.7000000000000002E-3</v>
      </c>
      <c r="M15" s="96">
        <v>4.4999999999999997E-3</v>
      </c>
      <c r="N15" s="96">
        <v>6.0499999999999998E-2</v>
      </c>
      <c r="O15" s="96">
        <v>1.12E-2</v>
      </c>
      <c r="P15" s="96">
        <v>0.1547</v>
      </c>
      <c r="Q15" s="102">
        <v>1.12E-2</v>
      </c>
      <c r="R15" s="95">
        <v>2.24E-2</v>
      </c>
      <c r="S15" s="140">
        <v>2.47E-2</v>
      </c>
      <c r="T15" s="96">
        <v>2.9100000000000001E-2</v>
      </c>
      <c r="U15" s="96">
        <v>1.12E-2</v>
      </c>
      <c r="V15" s="96">
        <v>6.7000000000000002E-3</v>
      </c>
      <c r="W15" s="96">
        <v>1.5699999999999999E-2</v>
      </c>
      <c r="X15" s="96">
        <v>0.42830000000000001</v>
      </c>
      <c r="Y15" s="96">
        <v>2.47E-2</v>
      </c>
      <c r="Z15" s="97">
        <v>0.1188</v>
      </c>
    </row>
    <row r="16" spans="1:26" ht="15.95" customHeight="1" x14ac:dyDescent="0.2">
      <c r="A16" s="143" t="s">
        <v>153</v>
      </c>
      <c r="B16" s="81">
        <v>351</v>
      </c>
      <c r="C16" s="236">
        <v>244</v>
      </c>
      <c r="D16" s="150">
        <v>0.4</v>
      </c>
      <c r="E16" s="81">
        <v>15</v>
      </c>
      <c r="F16" s="81">
        <v>249</v>
      </c>
      <c r="G16" s="142">
        <v>6</v>
      </c>
      <c r="H16" s="240">
        <v>200</v>
      </c>
      <c r="I16" s="95">
        <v>0.1396</v>
      </c>
      <c r="J16" s="96">
        <v>9.4E-2</v>
      </c>
      <c r="K16" s="195">
        <v>1</v>
      </c>
      <c r="L16" s="96">
        <v>8.5000000000000006E-3</v>
      </c>
      <c r="M16" s="96">
        <v>1.14E-2</v>
      </c>
      <c r="N16" s="96">
        <v>4.8399999999999999E-2</v>
      </c>
      <c r="O16" s="96">
        <v>2.2800000000000001E-2</v>
      </c>
      <c r="P16" s="96">
        <v>1.4200000000000001E-2</v>
      </c>
      <c r="Q16" s="102">
        <v>1.9900000000000001E-2</v>
      </c>
      <c r="R16" s="95">
        <v>1.7100000000000001E-2</v>
      </c>
      <c r="S16" s="140">
        <v>8.5000000000000006E-3</v>
      </c>
      <c r="T16" s="96">
        <v>7.4099999999999999E-2</v>
      </c>
      <c r="U16" s="96">
        <v>1.4200000000000001E-2</v>
      </c>
      <c r="V16" s="96">
        <v>1.4200000000000001E-2</v>
      </c>
      <c r="W16" s="96">
        <v>8.5000000000000006E-3</v>
      </c>
      <c r="X16" s="96">
        <v>3.4200000000000001E-2</v>
      </c>
      <c r="Y16" s="96">
        <v>1.9900000000000001E-2</v>
      </c>
      <c r="Z16" s="97">
        <v>2.8500000000000001E-2</v>
      </c>
    </row>
    <row r="17" spans="1:26" ht="15.95" customHeight="1" x14ac:dyDescent="0.2">
      <c r="A17" s="143" t="s">
        <v>116</v>
      </c>
      <c r="B17" s="202"/>
      <c r="C17" s="236"/>
      <c r="D17" s="150">
        <v>0.1</v>
      </c>
      <c r="E17" s="81"/>
      <c r="F17" s="81"/>
      <c r="G17" s="142">
        <v>3</v>
      </c>
      <c r="H17" s="145">
        <v>108</v>
      </c>
      <c r="I17" s="203"/>
      <c r="J17" s="204"/>
      <c r="K17" s="204"/>
      <c r="L17" s="204"/>
      <c r="M17" s="204"/>
      <c r="N17" s="204"/>
      <c r="O17" s="204"/>
      <c r="P17" s="204"/>
      <c r="Q17" s="205"/>
      <c r="R17" s="203"/>
      <c r="S17" s="206"/>
      <c r="T17" s="204"/>
      <c r="U17" s="204"/>
      <c r="V17" s="204"/>
      <c r="W17" s="204"/>
      <c r="X17" s="204"/>
      <c r="Y17" s="204"/>
      <c r="Z17" s="207"/>
    </row>
    <row r="18" spans="1:26" ht="15.95" customHeight="1" x14ac:dyDescent="0.2">
      <c r="A18" s="143" t="s">
        <v>105</v>
      </c>
      <c r="B18" s="81">
        <v>1026</v>
      </c>
      <c r="C18" s="236">
        <v>848</v>
      </c>
      <c r="D18" s="150">
        <v>0.2</v>
      </c>
      <c r="E18" s="81">
        <v>5</v>
      </c>
      <c r="F18" s="81">
        <v>55</v>
      </c>
      <c r="G18" s="142">
        <v>2</v>
      </c>
      <c r="H18" s="240">
        <v>200</v>
      </c>
      <c r="I18" s="95">
        <v>8.48E-2</v>
      </c>
      <c r="J18" s="195">
        <v>0.21440000000000001</v>
      </c>
      <c r="K18" s="96">
        <v>1.7500000000000002E-2</v>
      </c>
      <c r="L18" s="96">
        <v>3.4099999999999998E-2</v>
      </c>
      <c r="M18" s="96">
        <v>1.17E-2</v>
      </c>
      <c r="N18" s="96">
        <v>4.7800000000000002E-2</v>
      </c>
      <c r="O18" s="96">
        <v>1.17E-2</v>
      </c>
      <c r="P18" s="196">
        <v>0.1072</v>
      </c>
      <c r="Q18" s="102">
        <v>1.46E-2</v>
      </c>
      <c r="R18" s="95">
        <v>3.9E-2</v>
      </c>
      <c r="S18" s="140">
        <v>1.46E-2</v>
      </c>
      <c r="T18" s="96">
        <v>1.17E-2</v>
      </c>
      <c r="U18" s="96">
        <v>1.46E-2</v>
      </c>
      <c r="V18" s="96">
        <v>2.63E-2</v>
      </c>
      <c r="W18" s="96">
        <v>3.9E-2</v>
      </c>
      <c r="X18" s="96">
        <v>1.46E-2</v>
      </c>
      <c r="Y18" s="96">
        <v>2.63E-2</v>
      </c>
      <c r="Z18" s="97">
        <v>1.2699999999999999E-2</v>
      </c>
    </row>
    <row r="19" spans="1:26" ht="15.95" customHeight="1" x14ac:dyDescent="0.2">
      <c r="A19" s="143" t="s">
        <v>155</v>
      </c>
      <c r="B19" s="81">
        <v>971</v>
      </c>
      <c r="C19" s="236">
        <v>874</v>
      </c>
      <c r="D19" s="150">
        <v>0.1</v>
      </c>
      <c r="E19" s="81">
        <v>9</v>
      </c>
      <c r="F19" s="81">
        <v>25</v>
      </c>
      <c r="G19" s="142">
        <v>8</v>
      </c>
      <c r="H19" s="240">
        <v>200</v>
      </c>
      <c r="I19" s="95">
        <v>2.9899999999999999E-2</v>
      </c>
      <c r="J19" s="194">
        <v>0.75390000000000001</v>
      </c>
      <c r="K19" s="96">
        <v>1.24E-2</v>
      </c>
      <c r="L19" s="96">
        <v>0.16789999999999999</v>
      </c>
      <c r="M19" s="96">
        <v>1.7500000000000002E-2</v>
      </c>
      <c r="N19" s="96">
        <v>1.03E-2</v>
      </c>
      <c r="O19" s="96">
        <v>0.27289999999999998</v>
      </c>
      <c r="P19" s="96">
        <v>6.2799999999999995E-2</v>
      </c>
      <c r="Q19" s="102">
        <v>2.7799999999999998E-2</v>
      </c>
      <c r="R19" s="95">
        <v>4.8399999999999999E-2</v>
      </c>
      <c r="S19" s="140">
        <v>6.59E-2</v>
      </c>
      <c r="T19" s="96">
        <v>1.03E-2</v>
      </c>
      <c r="U19" s="96">
        <v>3.4000000000000002E-2</v>
      </c>
      <c r="V19" s="96">
        <v>5.4600000000000003E-2</v>
      </c>
      <c r="W19" s="96">
        <v>0.1009</v>
      </c>
      <c r="X19" s="96">
        <v>3.3000000000000002E-2</v>
      </c>
      <c r="Y19" s="96">
        <v>1.1299999999999999E-2</v>
      </c>
      <c r="Z19" s="97">
        <v>0.2152</v>
      </c>
    </row>
    <row r="20" spans="1:26" ht="15.95" customHeight="1" x14ac:dyDescent="0.2">
      <c r="A20" s="143" t="s">
        <v>145</v>
      </c>
      <c r="B20" s="81">
        <v>1421</v>
      </c>
      <c r="C20" s="236">
        <v>1009</v>
      </c>
      <c r="D20" s="150">
        <v>0.4</v>
      </c>
      <c r="E20" s="81">
        <v>11</v>
      </c>
      <c r="F20" s="81">
        <v>159</v>
      </c>
      <c r="G20" s="142">
        <v>8</v>
      </c>
      <c r="H20" s="240">
        <v>200</v>
      </c>
      <c r="I20" s="200">
        <v>0.15060000000000001</v>
      </c>
      <c r="J20" s="96">
        <v>1.2699999999999999E-2</v>
      </c>
      <c r="K20" s="96">
        <v>4.0800000000000003E-2</v>
      </c>
      <c r="L20" s="96">
        <v>1.55E-2</v>
      </c>
      <c r="M20" s="96">
        <v>5.5599999999999997E-2</v>
      </c>
      <c r="N20" s="96">
        <v>4.7100000000000003E-2</v>
      </c>
      <c r="O20" s="96">
        <v>7.3200000000000001E-2</v>
      </c>
      <c r="P20" s="96">
        <v>1.6899999999999998E-2</v>
      </c>
      <c r="Q20" s="102">
        <v>2.3900000000000001E-2</v>
      </c>
      <c r="R20" s="95">
        <v>1.2E-2</v>
      </c>
      <c r="S20" s="140">
        <v>3.3799999999999997E-2</v>
      </c>
      <c r="T20" s="96">
        <v>4.7100000000000003E-2</v>
      </c>
      <c r="U20" s="96">
        <v>3.3799999999999997E-2</v>
      </c>
      <c r="V20" s="96">
        <v>1.9699999999999999E-2</v>
      </c>
      <c r="W20" s="194">
        <v>0.42859999999999998</v>
      </c>
      <c r="X20" s="96">
        <v>1.9E-2</v>
      </c>
      <c r="Y20" s="96">
        <v>1.2E-2</v>
      </c>
      <c r="Z20" s="97">
        <v>1.9699999999999999E-2</v>
      </c>
    </row>
    <row r="21" spans="1:26" ht="15.95" customHeight="1" x14ac:dyDescent="0.2">
      <c r="A21" s="143" t="s">
        <v>104</v>
      </c>
      <c r="B21" s="81">
        <v>573</v>
      </c>
      <c r="C21" s="236">
        <v>434</v>
      </c>
      <c r="D21" s="150">
        <v>0.3</v>
      </c>
      <c r="E21" s="81">
        <v>7</v>
      </c>
      <c r="F21" s="81">
        <v>203</v>
      </c>
      <c r="G21" s="142">
        <v>8</v>
      </c>
      <c r="H21" s="145">
        <v>13</v>
      </c>
      <c r="I21" s="95">
        <v>2.6200000000000001E-2</v>
      </c>
      <c r="J21" s="96">
        <v>2.6200000000000001E-2</v>
      </c>
      <c r="K21" s="96">
        <v>1.9199999999999998E-2</v>
      </c>
      <c r="L21" s="96">
        <v>0.12909999999999999</v>
      </c>
      <c r="M21" s="96">
        <v>2.6200000000000001E-2</v>
      </c>
      <c r="N21" s="96">
        <v>1.9199999999999998E-2</v>
      </c>
      <c r="O21" s="96">
        <v>1.2200000000000001E-2</v>
      </c>
      <c r="P21" s="96">
        <v>1.9199999999999998E-2</v>
      </c>
      <c r="Q21" s="102">
        <v>1.9199999999999998E-2</v>
      </c>
      <c r="R21" s="95">
        <v>1.4E-2</v>
      </c>
      <c r="S21" s="140">
        <v>1.4E-2</v>
      </c>
      <c r="T21" s="96">
        <v>7.1599999999999997E-2</v>
      </c>
      <c r="U21" s="96">
        <v>1.9199999999999998E-2</v>
      </c>
      <c r="V21" s="96">
        <v>1.9199999999999998E-2</v>
      </c>
      <c r="W21" s="96">
        <v>5.9299999999999999E-2</v>
      </c>
      <c r="X21" s="194">
        <v>1</v>
      </c>
      <c r="Y21" s="96">
        <v>3.49E-2</v>
      </c>
      <c r="Z21" s="97">
        <v>2.6200000000000001E-2</v>
      </c>
    </row>
    <row r="22" spans="1:26" ht="15.95" customHeight="1" x14ac:dyDescent="0.2">
      <c r="A22" s="143" t="s">
        <v>160</v>
      </c>
      <c r="B22" s="81">
        <v>1198</v>
      </c>
      <c r="C22" s="236">
        <v>1080</v>
      </c>
      <c r="D22" s="150">
        <v>0.1</v>
      </c>
      <c r="E22" s="81">
        <v>8</v>
      </c>
      <c r="F22" s="81">
        <v>27</v>
      </c>
      <c r="G22" s="142">
        <v>6</v>
      </c>
      <c r="H22" s="240">
        <v>200</v>
      </c>
      <c r="I22" s="95">
        <v>3.09E-2</v>
      </c>
      <c r="J22" s="96">
        <v>5.3400000000000003E-2</v>
      </c>
      <c r="K22" s="96">
        <v>0.02</v>
      </c>
      <c r="L22" s="96">
        <v>1.5900000000000001E-2</v>
      </c>
      <c r="M22" s="96">
        <v>1.2500000000000001E-2</v>
      </c>
      <c r="N22" s="96">
        <v>1.09E-2</v>
      </c>
      <c r="O22" s="96">
        <v>2.3400000000000001E-2</v>
      </c>
      <c r="P22" s="96">
        <v>1.09E-2</v>
      </c>
      <c r="Q22" s="102">
        <v>2.4199999999999999E-2</v>
      </c>
      <c r="R22" s="95">
        <v>3.7600000000000001E-2</v>
      </c>
      <c r="S22" s="140">
        <v>1.4200000000000001E-2</v>
      </c>
      <c r="T22" s="96">
        <v>1.09E-2</v>
      </c>
      <c r="U22" s="96">
        <v>1.2500000000000001E-2</v>
      </c>
      <c r="V22" s="96">
        <v>8.1799999999999998E-2</v>
      </c>
      <c r="W22" s="96">
        <v>1.09E-2</v>
      </c>
      <c r="X22" s="96">
        <v>5.9299999999999999E-2</v>
      </c>
      <c r="Y22" s="96">
        <v>1.34E-2</v>
      </c>
      <c r="Z22" s="97">
        <v>8.1799999999999998E-2</v>
      </c>
    </row>
    <row r="23" spans="1:26" ht="15.95" customHeight="1" x14ac:dyDescent="0.2">
      <c r="A23" s="143" t="s">
        <v>149</v>
      </c>
      <c r="B23" s="81">
        <v>992</v>
      </c>
      <c r="C23" s="236">
        <v>756</v>
      </c>
      <c r="D23" s="150">
        <v>0.3</v>
      </c>
      <c r="E23" s="81">
        <v>6</v>
      </c>
      <c r="F23" s="81">
        <v>199</v>
      </c>
      <c r="G23" s="142">
        <v>4</v>
      </c>
      <c r="H23" s="240">
        <v>200</v>
      </c>
      <c r="I23" s="95">
        <v>2.6200000000000001E-2</v>
      </c>
      <c r="J23" s="96">
        <v>3.4299999999999997E-2</v>
      </c>
      <c r="K23" s="96">
        <v>1.5100000000000001E-2</v>
      </c>
      <c r="L23" s="96">
        <v>3.6299999999999999E-2</v>
      </c>
      <c r="M23" s="96">
        <v>0.1089</v>
      </c>
      <c r="N23" s="96">
        <v>1.61E-2</v>
      </c>
      <c r="O23" s="96">
        <v>6.25E-2</v>
      </c>
      <c r="P23" s="96">
        <v>1.61E-2</v>
      </c>
      <c r="Q23" s="102">
        <v>1.5100000000000001E-2</v>
      </c>
      <c r="R23" s="95">
        <v>3.4299999999999997E-2</v>
      </c>
      <c r="S23" s="140">
        <v>1.5100000000000001E-2</v>
      </c>
      <c r="T23" s="96">
        <v>1.7100000000000001E-2</v>
      </c>
      <c r="U23" s="96">
        <v>3.4299999999999997E-2</v>
      </c>
      <c r="V23" s="96">
        <v>1.5100000000000001E-2</v>
      </c>
      <c r="W23" s="96">
        <v>2.4199999999999999E-2</v>
      </c>
      <c r="X23" s="96">
        <v>5.2400000000000002E-2</v>
      </c>
      <c r="Y23" s="96">
        <v>3.73E-2</v>
      </c>
      <c r="Z23" s="97">
        <v>2.4199999999999999E-2</v>
      </c>
    </row>
    <row r="24" spans="1:26" ht="15.95" customHeight="1" x14ac:dyDescent="0.2">
      <c r="A24" s="143" t="s">
        <v>161</v>
      </c>
      <c r="B24" s="81">
        <v>992</v>
      </c>
      <c r="C24" s="236">
        <v>756</v>
      </c>
      <c r="D24" s="150">
        <v>0.3</v>
      </c>
      <c r="E24" s="81">
        <v>2</v>
      </c>
      <c r="F24" s="81">
        <v>41</v>
      </c>
      <c r="G24" s="142">
        <v>5</v>
      </c>
      <c r="H24" s="240">
        <v>200</v>
      </c>
      <c r="I24" s="95">
        <v>2.6200000000000001E-2</v>
      </c>
      <c r="J24" s="96">
        <v>1.8100000000000002E-2</v>
      </c>
      <c r="K24" s="96">
        <v>1.5100000000000001E-2</v>
      </c>
      <c r="L24" s="96">
        <v>3.4299999999999997E-2</v>
      </c>
      <c r="M24" s="96">
        <v>3.6299999999999999E-2</v>
      </c>
      <c r="N24" s="96">
        <v>2.0199999999999999E-2</v>
      </c>
      <c r="O24" s="96">
        <v>4.7399999999999998E-2</v>
      </c>
      <c r="P24" s="96">
        <v>1.21E-2</v>
      </c>
      <c r="Q24" s="102">
        <v>3.4299999999999997E-2</v>
      </c>
      <c r="R24" s="95">
        <v>1.5100000000000001E-2</v>
      </c>
      <c r="S24" s="140">
        <v>2.0199999999999999E-2</v>
      </c>
      <c r="T24" s="96">
        <v>1.21E-2</v>
      </c>
      <c r="U24" s="96">
        <v>1.5100000000000001E-2</v>
      </c>
      <c r="V24" s="96">
        <v>5.3400000000000003E-2</v>
      </c>
      <c r="W24" s="96">
        <v>2.4199999999999999E-2</v>
      </c>
      <c r="X24" s="96">
        <v>3.4299999999999997E-2</v>
      </c>
      <c r="Y24" s="96">
        <v>3.5299999999999998E-2</v>
      </c>
      <c r="Z24" s="97">
        <v>7.3599999999999999E-2</v>
      </c>
    </row>
    <row r="25" spans="1:26" ht="15.95" customHeight="1" x14ac:dyDescent="0.2">
      <c r="A25" s="143" t="s">
        <v>174</v>
      </c>
      <c r="B25" s="81">
        <v>784</v>
      </c>
      <c r="C25" s="236">
        <v>704</v>
      </c>
      <c r="D25" s="150">
        <v>0.1</v>
      </c>
      <c r="E25" s="81">
        <v>6</v>
      </c>
      <c r="F25" s="81">
        <v>48</v>
      </c>
      <c r="G25" s="142">
        <v>7</v>
      </c>
      <c r="H25" s="240">
        <v>200</v>
      </c>
      <c r="I25" s="95">
        <v>5.0999999999999997E-2</v>
      </c>
      <c r="J25" s="96">
        <v>2.6800000000000001E-2</v>
      </c>
      <c r="K25" s="96">
        <v>0.15939999999999999</v>
      </c>
      <c r="L25" s="96">
        <v>2.6800000000000001E-2</v>
      </c>
      <c r="M25" s="96">
        <v>1.4E-2</v>
      </c>
      <c r="N25" s="96">
        <v>4.9700000000000001E-2</v>
      </c>
      <c r="O25" s="96">
        <v>8.8999999999999999E-3</v>
      </c>
      <c r="P25" s="96">
        <v>1.66E-2</v>
      </c>
      <c r="Q25" s="102">
        <v>4.5900000000000003E-2</v>
      </c>
      <c r="R25" s="95">
        <v>1.2800000000000001E-2</v>
      </c>
      <c r="S25" s="140">
        <v>3.95E-2</v>
      </c>
      <c r="T25" s="96">
        <v>2.3E-2</v>
      </c>
      <c r="U25" s="96">
        <v>0.19900000000000001</v>
      </c>
      <c r="V25" s="96">
        <v>1.7899999999999999E-2</v>
      </c>
      <c r="W25" s="96">
        <v>3.5700000000000003E-2</v>
      </c>
      <c r="X25" s="96">
        <v>1.15E-2</v>
      </c>
      <c r="Y25" s="96">
        <v>8.8999999999999999E-3</v>
      </c>
      <c r="Z25" s="97">
        <v>1.0200000000000001E-2</v>
      </c>
    </row>
    <row r="26" spans="1:26" ht="15.95" customHeight="1" x14ac:dyDescent="0.2">
      <c r="A26" s="143" t="s">
        <v>139</v>
      </c>
      <c r="B26" s="81">
        <v>396</v>
      </c>
      <c r="C26" s="236">
        <v>352</v>
      </c>
      <c r="D26" s="150">
        <v>0.1</v>
      </c>
      <c r="E26" s="81">
        <v>13</v>
      </c>
      <c r="F26" s="81">
        <v>205</v>
      </c>
      <c r="G26" s="142">
        <v>8</v>
      </c>
      <c r="H26" s="240">
        <v>200</v>
      </c>
      <c r="I26" s="95">
        <v>2.7799999999999998E-2</v>
      </c>
      <c r="J26" s="96">
        <v>5.1000000000000004E-3</v>
      </c>
      <c r="K26" s="96">
        <v>2.0199999999999999E-2</v>
      </c>
      <c r="L26" s="96">
        <v>5.1000000000000004E-3</v>
      </c>
      <c r="M26" s="96">
        <v>0.2525</v>
      </c>
      <c r="N26" s="96">
        <v>7.6E-3</v>
      </c>
      <c r="O26" s="96">
        <v>2.2700000000000001E-2</v>
      </c>
      <c r="P26" s="96">
        <v>4.0399999999999998E-2</v>
      </c>
      <c r="Q26" s="102">
        <v>2.5000000000000001E-3</v>
      </c>
      <c r="R26" s="95">
        <v>1.01E-2</v>
      </c>
      <c r="S26" s="140">
        <v>2.0199999999999999E-2</v>
      </c>
      <c r="T26" s="96">
        <v>2.5000000000000001E-3</v>
      </c>
      <c r="U26" s="96">
        <v>2.7799999999999998E-2</v>
      </c>
      <c r="V26" s="96">
        <v>5.1000000000000004E-3</v>
      </c>
      <c r="W26" s="96">
        <v>2.7799999999999998E-2</v>
      </c>
      <c r="X26" s="96">
        <v>2.2700000000000001E-2</v>
      </c>
      <c r="Y26" s="96">
        <v>1.52E-2</v>
      </c>
      <c r="Z26" s="97">
        <v>2.53E-2</v>
      </c>
    </row>
    <row r="27" spans="1:26" ht="15.95" customHeight="1" x14ac:dyDescent="0.2">
      <c r="A27" s="143" t="s">
        <v>146</v>
      </c>
      <c r="B27" s="81">
        <v>351</v>
      </c>
      <c r="C27" s="236">
        <v>244</v>
      </c>
      <c r="D27" s="150">
        <v>0.4</v>
      </c>
      <c r="E27" s="81">
        <v>1</v>
      </c>
      <c r="F27" s="81">
        <v>49</v>
      </c>
      <c r="G27" s="142">
        <v>8</v>
      </c>
      <c r="H27" s="240">
        <v>200</v>
      </c>
      <c r="I27" s="95">
        <v>2.2800000000000001E-2</v>
      </c>
      <c r="J27" s="96">
        <v>1.4200000000000001E-2</v>
      </c>
      <c r="K27" s="96">
        <v>5.7000000000000002E-2</v>
      </c>
      <c r="L27" s="96">
        <v>1.4200000000000001E-2</v>
      </c>
      <c r="M27" s="96">
        <v>1.4200000000000001E-2</v>
      </c>
      <c r="N27" s="96">
        <v>2.5600000000000001E-2</v>
      </c>
      <c r="O27" s="96">
        <v>1.7100000000000001E-2</v>
      </c>
      <c r="P27" s="96">
        <v>1.4200000000000001E-2</v>
      </c>
      <c r="Q27" s="102">
        <v>4.8399999999999999E-2</v>
      </c>
      <c r="R27" s="95">
        <v>1.7100000000000001E-2</v>
      </c>
      <c r="S27" s="140">
        <v>1.4200000000000001E-2</v>
      </c>
      <c r="T27" s="96">
        <v>3.9899999999999998E-2</v>
      </c>
      <c r="U27" s="96">
        <v>6.2700000000000006E-2</v>
      </c>
      <c r="V27" s="96">
        <v>0.13109999999999999</v>
      </c>
      <c r="W27" s="96">
        <v>1.14E-2</v>
      </c>
      <c r="X27" s="96">
        <v>1.9900000000000001E-2</v>
      </c>
      <c r="Y27" s="96">
        <v>1.7100000000000001E-2</v>
      </c>
      <c r="Z27" s="97">
        <v>3.4200000000000001E-2</v>
      </c>
    </row>
    <row r="28" spans="1:26" ht="15.95" customHeight="1" x14ac:dyDescent="0.2">
      <c r="A28" s="143" t="s">
        <v>175</v>
      </c>
      <c r="B28" s="81">
        <v>703</v>
      </c>
      <c r="C28" s="236">
        <v>630</v>
      </c>
      <c r="D28" s="150">
        <v>0.1</v>
      </c>
      <c r="E28" s="81">
        <v>2</v>
      </c>
      <c r="F28" s="81">
        <v>251</v>
      </c>
      <c r="G28" s="142">
        <v>6</v>
      </c>
      <c r="H28" s="240">
        <v>200</v>
      </c>
      <c r="I28" s="95">
        <v>7.2499999999999995E-2</v>
      </c>
      <c r="J28" s="96">
        <v>0.1067</v>
      </c>
      <c r="K28" s="96">
        <v>3.6999999999999998E-2</v>
      </c>
      <c r="L28" s="96">
        <v>2.5600000000000001E-2</v>
      </c>
      <c r="M28" s="96">
        <v>1.4200000000000001E-2</v>
      </c>
      <c r="N28" s="96">
        <v>1.2800000000000001E-2</v>
      </c>
      <c r="O28" s="96">
        <v>1.4200000000000001E-2</v>
      </c>
      <c r="P28" s="96">
        <v>8.5000000000000006E-3</v>
      </c>
      <c r="Q28" s="102">
        <v>8.5000000000000006E-3</v>
      </c>
      <c r="R28" s="95">
        <v>1.5599999999999999E-2</v>
      </c>
      <c r="S28" s="140">
        <v>2.7E-2</v>
      </c>
      <c r="T28" s="96">
        <v>2.9899999999999999E-2</v>
      </c>
      <c r="U28" s="96">
        <v>7.2499999999999995E-2</v>
      </c>
      <c r="V28" s="96">
        <v>2.4199999999999999E-2</v>
      </c>
      <c r="W28" s="96">
        <v>0.01</v>
      </c>
      <c r="X28" s="96">
        <v>0.01</v>
      </c>
      <c r="Y28" s="196">
        <v>3</v>
      </c>
      <c r="Z28" s="97">
        <v>1.7100000000000001E-2</v>
      </c>
    </row>
    <row r="29" spans="1:26" ht="15.95" customHeight="1" x14ac:dyDescent="0.2">
      <c r="A29" s="143" t="s">
        <v>152</v>
      </c>
      <c r="B29" s="81">
        <v>1241</v>
      </c>
      <c r="C29" s="236">
        <v>1027</v>
      </c>
      <c r="D29" s="150">
        <v>0.2</v>
      </c>
      <c r="E29" s="81">
        <v>9</v>
      </c>
      <c r="F29" s="81">
        <v>238</v>
      </c>
      <c r="G29" s="142">
        <v>3</v>
      </c>
      <c r="H29" s="240">
        <v>200</v>
      </c>
      <c r="I29" s="95">
        <v>1.5299999999999999E-2</v>
      </c>
      <c r="J29" s="96">
        <v>1.1299999999999999E-2</v>
      </c>
      <c r="K29" s="96">
        <v>6.6900000000000001E-2</v>
      </c>
      <c r="L29" s="96">
        <v>2.7400000000000001E-2</v>
      </c>
      <c r="M29" s="96">
        <v>1.77E-2</v>
      </c>
      <c r="N29" s="96">
        <v>2.6599999999999999E-2</v>
      </c>
      <c r="O29" s="96">
        <v>1.37E-2</v>
      </c>
      <c r="P29" s="96">
        <v>4.3499999999999997E-2</v>
      </c>
      <c r="Q29" s="102">
        <v>1.37E-2</v>
      </c>
      <c r="R29" s="95">
        <v>6.5299999999999997E-2</v>
      </c>
      <c r="S29" s="140">
        <v>1.8499999999999999E-2</v>
      </c>
      <c r="T29" s="96">
        <v>1.77E-2</v>
      </c>
      <c r="U29" s="96">
        <v>9.5899999999999999E-2</v>
      </c>
      <c r="V29" s="96">
        <v>1.21E-2</v>
      </c>
      <c r="W29" s="96">
        <v>1.4500000000000001E-2</v>
      </c>
      <c r="X29" s="96">
        <v>1.4500000000000001E-2</v>
      </c>
      <c r="Y29" s="96">
        <v>1.21E-2</v>
      </c>
      <c r="Z29" s="97">
        <v>1.21E-2</v>
      </c>
    </row>
    <row r="30" spans="1:26" ht="15.95" customHeight="1" x14ac:dyDescent="0.2">
      <c r="A30" s="143" t="s">
        <v>151</v>
      </c>
      <c r="B30" s="202"/>
      <c r="C30" s="236"/>
      <c r="D30" s="150">
        <v>0.3</v>
      </c>
      <c r="E30" s="81"/>
      <c r="F30" s="81"/>
      <c r="G30" s="142">
        <v>4</v>
      </c>
      <c r="H30" s="240">
        <v>200</v>
      </c>
      <c r="I30" s="203"/>
      <c r="J30" s="204"/>
      <c r="K30" s="204"/>
      <c r="L30" s="204"/>
      <c r="M30" s="204"/>
      <c r="N30" s="204"/>
      <c r="O30" s="204"/>
      <c r="P30" s="204"/>
      <c r="Q30" s="205"/>
      <c r="R30" s="203"/>
      <c r="S30" s="206"/>
      <c r="T30" s="204"/>
      <c r="U30" s="204"/>
      <c r="V30" s="204"/>
      <c r="W30" s="204"/>
      <c r="X30" s="204"/>
      <c r="Y30" s="204"/>
      <c r="Z30" s="207"/>
    </row>
    <row r="31" spans="1:26" ht="15.95" customHeight="1" x14ac:dyDescent="0.2">
      <c r="A31" s="143" t="s">
        <v>154</v>
      </c>
      <c r="B31" s="81">
        <v>1079</v>
      </c>
      <c r="C31" s="236">
        <v>972</v>
      </c>
      <c r="D31" s="150">
        <v>0.1</v>
      </c>
      <c r="E31" s="81">
        <v>15</v>
      </c>
      <c r="F31" s="81">
        <v>205</v>
      </c>
      <c r="G31" s="142">
        <v>2</v>
      </c>
      <c r="H31" s="240">
        <v>200</v>
      </c>
      <c r="I31" s="95">
        <v>2.41E-2</v>
      </c>
      <c r="J31" s="96">
        <v>1.3899999999999999E-2</v>
      </c>
      <c r="K31" s="195">
        <v>0.20019999999999999</v>
      </c>
      <c r="L31" s="96">
        <v>9.2999999999999992E-3</v>
      </c>
      <c r="M31" s="96">
        <v>1.0200000000000001E-2</v>
      </c>
      <c r="N31" s="96">
        <v>1.4800000000000001E-2</v>
      </c>
      <c r="O31" s="96">
        <v>1.3899999999999999E-2</v>
      </c>
      <c r="P31" s="96">
        <v>2.41E-2</v>
      </c>
      <c r="Q31" s="102">
        <v>2.3199999999999998E-2</v>
      </c>
      <c r="R31" s="95">
        <v>1.0200000000000001E-2</v>
      </c>
      <c r="S31" s="140">
        <v>1.2999999999999999E-2</v>
      </c>
      <c r="T31" s="96">
        <v>2.41E-2</v>
      </c>
      <c r="U31" s="96">
        <v>1.7600000000000001E-2</v>
      </c>
      <c r="V31" s="96">
        <v>3.0599999999999999E-2</v>
      </c>
      <c r="W31" s="96">
        <v>2.1299999999999999E-2</v>
      </c>
      <c r="X31" s="96">
        <v>1.7600000000000001E-2</v>
      </c>
      <c r="Y31" s="96">
        <v>0.11119999999999999</v>
      </c>
      <c r="Z31" s="97">
        <v>9.2999999999999992E-3</v>
      </c>
    </row>
    <row r="32" spans="1:26" ht="15.95" customHeight="1" x14ac:dyDescent="0.2">
      <c r="A32" s="143" t="s">
        <v>162</v>
      </c>
      <c r="B32" s="81">
        <v>385</v>
      </c>
      <c r="C32" s="236">
        <v>314</v>
      </c>
      <c r="D32" s="150">
        <v>0.2</v>
      </c>
      <c r="E32" s="81">
        <v>15</v>
      </c>
      <c r="F32" s="81">
        <v>104</v>
      </c>
      <c r="G32" s="142">
        <v>3</v>
      </c>
      <c r="H32" s="240">
        <v>200</v>
      </c>
      <c r="I32" s="95">
        <v>5.45E-2</v>
      </c>
      <c r="J32" s="96">
        <v>0.1532</v>
      </c>
      <c r="K32" s="96">
        <v>0.21560000000000001</v>
      </c>
      <c r="L32" s="96">
        <v>2.0799999999999999E-2</v>
      </c>
      <c r="M32" s="96">
        <v>4.6800000000000001E-2</v>
      </c>
      <c r="N32" s="96">
        <v>2.5999999999999999E-2</v>
      </c>
      <c r="O32" s="96">
        <v>1.5599999999999999E-2</v>
      </c>
      <c r="P32" s="96">
        <v>1.5599999999999999E-2</v>
      </c>
      <c r="Q32" s="102">
        <v>6.7500000000000004E-2</v>
      </c>
      <c r="R32" s="95">
        <v>9.8699999999999996E-2</v>
      </c>
      <c r="S32" s="140">
        <v>0.42599999999999999</v>
      </c>
      <c r="T32" s="96">
        <v>4.6800000000000001E-2</v>
      </c>
      <c r="U32" s="96">
        <v>1.2999999999999999E-2</v>
      </c>
      <c r="V32" s="96">
        <v>2.0799999999999999E-2</v>
      </c>
      <c r="W32" s="96">
        <v>1.04E-2</v>
      </c>
      <c r="X32" s="96">
        <v>0.161</v>
      </c>
      <c r="Y32" s="96">
        <v>2.0799999999999999E-2</v>
      </c>
      <c r="Z32" s="97">
        <v>8.3099999999999993E-2</v>
      </c>
    </row>
    <row r="33" spans="1:26" ht="15.95" customHeight="1" x14ac:dyDescent="0.2">
      <c r="A33" s="143" t="s">
        <v>163</v>
      </c>
      <c r="B33" s="81">
        <v>1008</v>
      </c>
      <c r="C33" s="236">
        <v>714</v>
      </c>
      <c r="D33" s="150">
        <v>0.4</v>
      </c>
      <c r="E33" s="81">
        <v>6</v>
      </c>
      <c r="F33" s="81">
        <v>187</v>
      </c>
      <c r="G33" s="142">
        <v>3</v>
      </c>
      <c r="H33" s="240">
        <v>200</v>
      </c>
      <c r="I33" s="208">
        <v>1</v>
      </c>
      <c r="J33" s="96">
        <v>7.5399999999999995E-2</v>
      </c>
      <c r="K33" s="96">
        <v>1.29E-2</v>
      </c>
      <c r="L33" s="96">
        <v>0.1429</v>
      </c>
      <c r="M33" s="96">
        <v>1.1900000000000001E-2</v>
      </c>
      <c r="N33" s="96">
        <v>1.29E-2</v>
      </c>
      <c r="O33" s="96">
        <v>2.8799999999999999E-2</v>
      </c>
      <c r="P33" s="96">
        <v>4.7600000000000003E-2</v>
      </c>
      <c r="Q33" s="102">
        <v>1.49E-2</v>
      </c>
      <c r="R33" s="95">
        <v>1.7899999999999999E-2</v>
      </c>
      <c r="S33" s="140">
        <v>1.9800000000000002E-2</v>
      </c>
      <c r="T33" s="96">
        <v>5.5599999999999997E-2</v>
      </c>
      <c r="U33" s="96">
        <v>1.9800000000000002E-2</v>
      </c>
      <c r="V33" s="96">
        <v>1.1900000000000001E-2</v>
      </c>
      <c r="W33" s="96">
        <v>2.18E-2</v>
      </c>
      <c r="X33" s="96">
        <v>0.1429</v>
      </c>
      <c r="Y33" s="96">
        <v>9.2700000000000005E-2</v>
      </c>
      <c r="Z33" s="97">
        <v>5.8500000000000003E-2</v>
      </c>
    </row>
    <row r="34" spans="1:26" ht="15.95" customHeight="1" x14ac:dyDescent="0.2">
      <c r="A34" s="143" t="s">
        <v>164</v>
      </c>
      <c r="B34" s="81">
        <v>873</v>
      </c>
      <c r="C34" s="236">
        <v>785</v>
      </c>
      <c r="D34" s="150">
        <v>0.1</v>
      </c>
      <c r="E34" s="81">
        <v>10</v>
      </c>
      <c r="F34" s="81">
        <v>3</v>
      </c>
      <c r="G34" s="142">
        <v>8</v>
      </c>
      <c r="H34" s="240">
        <v>200</v>
      </c>
      <c r="I34" s="95">
        <v>1.37E-2</v>
      </c>
      <c r="J34" s="96">
        <v>1.15E-2</v>
      </c>
      <c r="K34" s="96">
        <v>2.06E-2</v>
      </c>
      <c r="L34" s="96">
        <v>3.09E-2</v>
      </c>
      <c r="M34" s="96">
        <v>1.83E-2</v>
      </c>
      <c r="N34" s="96">
        <v>1.72E-2</v>
      </c>
      <c r="O34" s="96">
        <v>1.26E-2</v>
      </c>
      <c r="P34" s="96">
        <v>1.15E-2</v>
      </c>
      <c r="Q34" s="102">
        <v>1.15E-2</v>
      </c>
      <c r="R34" s="95">
        <v>1.6E-2</v>
      </c>
      <c r="S34" s="209">
        <v>1.5097</v>
      </c>
      <c r="T34" s="96">
        <v>4.9299999999999997E-2</v>
      </c>
      <c r="U34" s="96">
        <v>5.5E-2</v>
      </c>
      <c r="V34" s="96">
        <v>1.26E-2</v>
      </c>
      <c r="W34" s="96">
        <v>1.72E-2</v>
      </c>
      <c r="X34" s="96">
        <v>2.75E-2</v>
      </c>
      <c r="Y34" s="96">
        <v>1.15E-2</v>
      </c>
      <c r="Z34" s="97">
        <v>1.72E-2</v>
      </c>
    </row>
    <row r="35" spans="1:26" ht="15.95" customHeight="1" x14ac:dyDescent="0.2">
      <c r="A35" s="143" t="s">
        <v>157</v>
      </c>
      <c r="B35" s="202"/>
      <c r="C35" s="236"/>
      <c r="D35" s="150">
        <v>0.2</v>
      </c>
      <c r="E35" s="81"/>
      <c r="F35" s="81"/>
      <c r="G35" s="142">
        <v>8</v>
      </c>
      <c r="H35" s="240">
        <v>200</v>
      </c>
      <c r="I35" s="203"/>
      <c r="J35" s="204"/>
      <c r="K35" s="204"/>
      <c r="L35" s="204"/>
      <c r="M35" s="204"/>
      <c r="N35" s="204"/>
      <c r="O35" s="204"/>
      <c r="P35" s="204"/>
      <c r="Q35" s="205"/>
      <c r="R35" s="203"/>
      <c r="S35" s="206"/>
      <c r="T35" s="204"/>
      <c r="U35" s="204"/>
      <c r="V35" s="204"/>
      <c r="W35" s="204"/>
      <c r="X35" s="204"/>
      <c r="Y35" s="204"/>
      <c r="Z35" s="207"/>
    </row>
    <row r="36" spans="1:26" ht="15.95" customHeight="1" x14ac:dyDescent="0.2">
      <c r="A36" s="143" t="s">
        <v>148</v>
      </c>
      <c r="B36" s="81">
        <v>992</v>
      </c>
      <c r="C36" s="236">
        <v>756</v>
      </c>
      <c r="D36" s="150">
        <v>0.3</v>
      </c>
      <c r="E36" s="81">
        <v>9</v>
      </c>
      <c r="F36" s="81">
        <v>171</v>
      </c>
      <c r="G36" s="142">
        <v>4</v>
      </c>
      <c r="H36" s="240">
        <v>200</v>
      </c>
      <c r="I36" s="95">
        <v>2.0199999999999999E-2</v>
      </c>
      <c r="J36" s="96">
        <v>1.5100000000000001E-2</v>
      </c>
      <c r="K36" s="96">
        <v>9.2700000000000005E-2</v>
      </c>
      <c r="L36" s="96">
        <v>2.6200000000000001E-2</v>
      </c>
      <c r="M36" s="195">
        <v>0.23080000000000001</v>
      </c>
      <c r="N36" s="96">
        <v>0.1069</v>
      </c>
      <c r="O36" s="96">
        <v>7.6600000000000001E-2</v>
      </c>
      <c r="P36" s="96">
        <v>1.11E-2</v>
      </c>
      <c r="Q36" s="102">
        <v>2.0199999999999999E-2</v>
      </c>
      <c r="R36" s="95">
        <v>4.5400000000000003E-2</v>
      </c>
      <c r="S36" s="140">
        <v>3.4299999999999997E-2</v>
      </c>
      <c r="T36" s="96">
        <v>1.21E-2</v>
      </c>
      <c r="U36" s="96">
        <v>1.11E-2</v>
      </c>
      <c r="V36" s="96">
        <v>3.6299999999999999E-2</v>
      </c>
      <c r="W36" s="194">
        <v>0.5988</v>
      </c>
      <c r="X36" s="96">
        <v>3.4299999999999997E-2</v>
      </c>
      <c r="Y36" s="96">
        <v>1.11E-2</v>
      </c>
      <c r="Z36" s="97">
        <v>2.0199999999999999E-2</v>
      </c>
    </row>
    <row r="37" spans="1:26" ht="15.95" customHeight="1" x14ac:dyDescent="0.2">
      <c r="A37" s="143" t="s">
        <v>165</v>
      </c>
      <c r="B37" s="81">
        <v>713</v>
      </c>
      <c r="C37" s="236">
        <v>503</v>
      </c>
      <c r="D37" s="150">
        <v>0.4</v>
      </c>
      <c r="E37" s="81">
        <v>2</v>
      </c>
      <c r="F37" s="81">
        <v>54</v>
      </c>
      <c r="G37" s="142">
        <v>6</v>
      </c>
      <c r="H37" s="240">
        <v>200</v>
      </c>
      <c r="I37" s="95">
        <v>2.52E-2</v>
      </c>
      <c r="J37" s="96">
        <v>2.52E-2</v>
      </c>
      <c r="K37" s="96">
        <v>2.1000000000000001E-2</v>
      </c>
      <c r="L37" s="96">
        <v>4.3499999999999997E-2</v>
      </c>
      <c r="M37" s="96">
        <v>5.6099999999999997E-2</v>
      </c>
      <c r="N37" s="96">
        <v>6.7299999999999999E-2</v>
      </c>
      <c r="O37" s="96">
        <v>0.1038</v>
      </c>
      <c r="P37" s="96">
        <v>1.12E-2</v>
      </c>
      <c r="Q37" s="102">
        <v>4.3499999999999997E-2</v>
      </c>
      <c r="R37" s="95">
        <v>0.17810000000000001</v>
      </c>
      <c r="S37" s="140">
        <v>1.6799999999999999E-2</v>
      </c>
      <c r="T37" s="96">
        <v>1.4E-2</v>
      </c>
      <c r="U37" s="96">
        <v>3.9300000000000002E-2</v>
      </c>
      <c r="V37" s="96">
        <v>8.4199999999999997E-2</v>
      </c>
      <c r="W37" s="96">
        <v>0.1038</v>
      </c>
      <c r="X37" s="96">
        <v>1.26E-2</v>
      </c>
      <c r="Y37" s="96">
        <v>0.2132</v>
      </c>
      <c r="Z37" s="97">
        <v>1.8200000000000001E-2</v>
      </c>
    </row>
    <row r="38" spans="1:26" ht="15.95" customHeight="1" x14ac:dyDescent="0.2">
      <c r="A38" s="143" t="s">
        <v>166</v>
      </c>
      <c r="B38" s="81">
        <v>396</v>
      </c>
      <c r="C38" s="236">
        <v>352</v>
      </c>
      <c r="D38" s="150">
        <v>0.1</v>
      </c>
      <c r="E38" s="81">
        <v>8</v>
      </c>
      <c r="F38" s="81">
        <v>90</v>
      </c>
      <c r="G38" s="142">
        <v>6</v>
      </c>
      <c r="H38" s="240">
        <v>200</v>
      </c>
      <c r="I38" s="95">
        <v>2.2700000000000001E-2</v>
      </c>
      <c r="J38" s="96">
        <v>2.0199999999999999E-2</v>
      </c>
      <c r="K38" s="96">
        <v>7.5800000000000006E-2</v>
      </c>
      <c r="L38" s="96">
        <v>7.6E-3</v>
      </c>
      <c r="M38" s="96">
        <v>1.26E-2</v>
      </c>
      <c r="N38" s="96">
        <v>8.3299999999999999E-2</v>
      </c>
      <c r="O38" s="96">
        <v>7.6E-3</v>
      </c>
      <c r="P38" s="96">
        <v>6.0600000000000001E-2</v>
      </c>
      <c r="Q38" s="201">
        <v>0.3</v>
      </c>
      <c r="R38" s="95">
        <v>2.5000000000000001E-3</v>
      </c>
      <c r="S38" s="140">
        <v>0.17169999999999999</v>
      </c>
      <c r="T38" s="96">
        <v>3.2800000000000003E-2</v>
      </c>
      <c r="U38" s="96">
        <v>7.6E-3</v>
      </c>
      <c r="V38" s="96">
        <v>5.2999999999999999E-2</v>
      </c>
      <c r="W38" s="96">
        <v>0.1414</v>
      </c>
      <c r="X38" s="96">
        <v>1.52E-2</v>
      </c>
      <c r="Y38" s="96">
        <v>7.6E-3</v>
      </c>
      <c r="Z38" s="97">
        <v>1.26E-2</v>
      </c>
    </row>
    <row r="39" spans="1:26" ht="15.95" customHeight="1" x14ac:dyDescent="0.2">
      <c r="A39" s="143" t="s">
        <v>106</v>
      </c>
      <c r="B39" s="81">
        <v>433</v>
      </c>
      <c r="C39" s="236">
        <v>326</v>
      </c>
      <c r="D39" s="150">
        <v>0.3</v>
      </c>
      <c r="E39" s="81">
        <v>15</v>
      </c>
      <c r="F39" s="81">
        <v>107</v>
      </c>
      <c r="G39" s="142">
        <v>4</v>
      </c>
      <c r="H39" s="240">
        <v>200</v>
      </c>
      <c r="I39" s="95">
        <v>2.7699999999999999E-2</v>
      </c>
      <c r="J39" s="96">
        <v>0.4249</v>
      </c>
      <c r="K39" s="96">
        <v>7.6200000000000004E-2</v>
      </c>
      <c r="L39" s="96">
        <v>1.8499999999999999E-2</v>
      </c>
      <c r="M39" s="96">
        <v>1.6199999999999999E-2</v>
      </c>
      <c r="N39" s="96">
        <v>9.1999999999999998E-3</v>
      </c>
      <c r="O39" s="96">
        <v>4.1599999999999998E-2</v>
      </c>
      <c r="P39" s="196">
        <v>1.5058</v>
      </c>
      <c r="Q39" s="102">
        <v>1.8499999999999999E-2</v>
      </c>
      <c r="R39" s="95">
        <v>1.3899999999999999E-2</v>
      </c>
      <c r="S39" s="197">
        <v>0.75519999999999998</v>
      </c>
      <c r="T39" s="96">
        <v>1.8499999999999999E-2</v>
      </c>
      <c r="U39" s="96">
        <v>1.15E-2</v>
      </c>
      <c r="V39" s="96">
        <v>1.3899999999999999E-2</v>
      </c>
      <c r="W39" s="96">
        <v>1.3899999999999999E-2</v>
      </c>
      <c r="X39" s="96">
        <v>1.8499999999999999E-2</v>
      </c>
      <c r="Y39" s="96">
        <v>3.4599999999999999E-2</v>
      </c>
      <c r="Z39" s="97">
        <v>4.3900000000000002E-2</v>
      </c>
    </row>
    <row r="40" spans="1:26" ht="15.95" customHeight="1" x14ac:dyDescent="0.2">
      <c r="A40" s="83" t="s">
        <v>75</v>
      </c>
      <c r="B40" s="202"/>
      <c r="C40" s="236">
        <v>300</v>
      </c>
      <c r="D40" s="150">
        <v>0.2</v>
      </c>
      <c r="E40" s="81">
        <v>11</v>
      </c>
      <c r="F40" s="81">
        <v>240</v>
      </c>
      <c r="G40" s="142">
        <v>6</v>
      </c>
      <c r="H40" s="145">
        <v>44</v>
      </c>
      <c r="I40" s="203"/>
      <c r="J40" s="204"/>
      <c r="K40" s="204"/>
      <c r="L40" s="204"/>
      <c r="M40" s="204"/>
      <c r="N40" s="204"/>
      <c r="O40" s="204"/>
      <c r="P40" s="204"/>
      <c r="Q40" s="205"/>
      <c r="R40" s="203"/>
      <c r="S40" s="206"/>
      <c r="T40" s="204"/>
      <c r="U40" s="204"/>
      <c r="V40" s="204"/>
      <c r="W40" s="204"/>
      <c r="X40" s="204"/>
      <c r="Y40" s="204"/>
      <c r="Z40" s="207"/>
    </row>
    <row r="41" spans="1:26" ht="15.95" customHeight="1" x14ac:dyDescent="0.2">
      <c r="A41" s="83" t="s">
        <v>76</v>
      </c>
      <c r="B41" s="202"/>
      <c r="C41" s="146">
        <v>26</v>
      </c>
      <c r="D41" s="150">
        <v>0.3</v>
      </c>
      <c r="E41" s="81">
        <v>7</v>
      </c>
      <c r="F41" s="81">
        <v>217</v>
      </c>
      <c r="G41" s="142">
        <v>3</v>
      </c>
      <c r="H41" s="145">
        <v>157</v>
      </c>
      <c r="I41" s="203"/>
      <c r="J41" s="204"/>
      <c r="K41" s="204"/>
      <c r="L41" s="204"/>
      <c r="M41" s="204"/>
      <c r="N41" s="204"/>
      <c r="O41" s="204"/>
      <c r="P41" s="204"/>
      <c r="Q41" s="205"/>
      <c r="R41" s="203"/>
      <c r="S41" s="206"/>
      <c r="T41" s="204"/>
      <c r="U41" s="204"/>
      <c r="V41" s="204"/>
      <c r="W41" s="204"/>
      <c r="X41" s="204"/>
      <c r="Y41" s="204"/>
      <c r="Z41" s="207"/>
    </row>
    <row r="42" spans="1:26" ht="15.95" customHeight="1" x14ac:dyDescent="0.2">
      <c r="A42" s="143" t="s">
        <v>167</v>
      </c>
      <c r="B42" s="81">
        <v>1300</v>
      </c>
      <c r="C42" s="236">
        <v>993</v>
      </c>
      <c r="D42" s="150">
        <v>0.3</v>
      </c>
      <c r="E42" s="81">
        <v>9</v>
      </c>
      <c r="F42" s="81">
        <v>255</v>
      </c>
      <c r="G42" s="142">
        <v>8</v>
      </c>
      <c r="H42" s="240">
        <v>200</v>
      </c>
      <c r="I42" s="208">
        <v>1.5023</v>
      </c>
      <c r="J42" s="96">
        <v>1.8499999999999999E-2</v>
      </c>
      <c r="K42" s="96">
        <v>3.3799999999999997E-2</v>
      </c>
      <c r="L42" s="96">
        <v>2.0799999999999999E-2</v>
      </c>
      <c r="M42" s="96">
        <v>1.77E-2</v>
      </c>
      <c r="N42" s="96">
        <v>1.15E-2</v>
      </c>
      <c r="O42" s="96">
        <v>0.02</v>
      </c>
      <c r="P42" s="96">
        <v>2.3099999999999999E-2</v>
      </c>
      <c r="Q42" s="102">
        <v>3.0800000000000001E-2</v>
      </c>
      <c r="R42" s="95">
        <v>2.0799999999999999E-2</v>
      </c>
      <c r="S42" s="140">
        <v>1.23E-2</v>
      </c>
      <c r="T42" s="96">
        <v>1.15E-2</v>
      </c>
      <c r="U42" s="96">
        <v>1.15E-2</v>
      </c>
      <c r="V42" s="96">
        <v>1.23E-2</v>
      </c>
      <c r="W42" s="196">
        <v>3</v>
      </c>
      <c r="X42" s="96">
        <v>1.15E-2</v>
      </c>
      <c r="Y42" s="96">
        <v>0.02</v>
      </c>
      <c r="Z42" s="97">
        <v>0.13</v>
      </c>
    </row>
    <row r="43" spans="1:26" ht="15.95" customHeight="1" x14ac:dyDescent="0.2">
      <c r="A43" s="143" t="s">
        <v>150</v>
      </c>
      <c r="B43" s="146">
        <v>713</v>
      </c>
      <c r="C43" s="236">
        <v>503</v>
      </c>
      <c r="D43" s="150">
        <v>0.4</v>
      </c>
      <c r="E43" s="146">
        <v>13</v>
      </c>
      <c r="F43" s="146">
        <v>159</v>
      </c>
      <c r="G43" s="160">
        <v>2</v>
      </c>
      <c r="H43" s="240">
        <v>200</v>
      </c>
      <c r="I43" s="155">
        <v>1.9599999999999999E-2</v>
      </c>
      <c r="J43" s="156">
        <v>5.4699999999999999E-2</v>
      </c>
      <c r="K43" s="156">
        <v>2.52E-2</v>
      </c>
      <c r="L43" s="156">
        <v>1.6799999999999999E-2</v>
      </c>
      <c r="M43" s="156">
        <v>1.4E-2</v>
      </c>
      <c r="N43" s="156">
        <v>1.4E-2</v>
      </c>
      <c r="O43" s="156">
        <v>3.09E-2</v>
      </c>
      <c r="P43" s="156">
        <v>1.12E-2</v>
      </c>
      <c r="Q43" s="201">
        <v>0.37869999999999998</v>
      </c>
      <c r="R43" s="155">
        <v>1.12E-2</v>
      </c>
      <c r="S43" s="158">
        <v>1.9599999999999999E-2</v>
      </c>
      <c r="T43" s="156">
        <v>2.1000000000000001E-2</v>
      </c>
      <c r="U43" s="156">
        <v>1.4E-2</v>
      </c>
      <c r="V43" s="156">
        <v>1.8200000000000001E-2</v>
      </c>
      <c r="W43" s="156">
        <v>2.3800000000000002E-2</v>
      </c>
      <c r="X43" s="156">
        <v>1.4E-2</v>
      </c>
      <c r="Y43" s="156">
        <v>2.1000000000000001E-2</v>
      </c>
      <c r="Z43" s="159">
        <v>1.6799999999999999E-2</v>
      </c>
    </row>
    <row r="44" spans="1:26" ht="15.95" customHeight="1" x14ac:dyDescent="0.2">
      <c r="A44" s="143" t="s">
        <v>115</v>
      </c>
      <c r="B44" s="146">
        <v>1008</v>
      </c>
      <c r="C44" s="236">
        <v>714</v>
      </c>
      <c r="D44" s="150">
        <v>0.4</v>
      </c>
      <c r="E44" s="146">
        <v>10</v>
      </c>
      <c r="F44" s="146">
        <v>57</v>
      </c>
      <c r="G44" s="160">
        <v>2</v>
      </c>
      <c r="H44" s="161">
        <v>76</v>
      </c>
      <c r="I44" s="155">
        <v>5.5599999999999997E-2</v>
      </c>
      <c r="J44" s="156">
        <v>1.9800000000000002E-2</v>
      </c>
      <c r="K44" s="156">
        <v>2.3800000000000002E-2</v>
      </c>
      <c r="L44" s="156">
        <v>3.3700000000000001E-2</v>
      </c>
      <c r="M44" s="156">
        <v>2.8799999999999999E-2</v>
      </c>
      <c r="N44" s="195">
        <v>0.20039999999999999</v>
      </c>
      <c r="O44" s="156">
        <v>1.49E-2</v>
      </c>
      <c r="P44" s="156">
        <v>1.29E-2</v>
      </c>
      <c r="Q44" s="157">
        <v>4.3700000000000003E-2</v>
      </c>
      <c r="R44" s="155">
        <v>0.378</v>
      </c>
      <c r="S44" s="158">
        <v>1.8800000000000001E-2</v>
      </c>
      <c r="T44" s="156">
        <v>1.1900000000000001E-2</v>
      </c>
      <c r="U44" s="156">
        <v>1.1900000000000001E-2</v>
      </c>
      <c r="V44" s="156">
        <v>1.29E-2</v>
      </c>
      <c r="W44" s="156">
        <v>2.98E-2</v>
      </c>
      <c r="X44" s="156">
        <v>3.1699999999999999E-2</v>
      </c>
      <c r="Y44" s="156">
        <v>6.1499999999999999E-2</v>
      </c>
      <c r="Z44" s="159">
        <v>1.9800000000000002E-2</v>
      </c>
    </row>
    <row r="45" spans="1:26" ht="15.95" customHeight="1" x14ac:dyDescent="0.2">
      <c r="A45" s="143" t="s">
        <v>176</v>
      </c>
      <c r="B45" s="81">
        <v>1241</v>
      </c>
      <c r="C45" s="236">
        <v>1027</v>
      </c>
      <c r="D45" s="150">
        <v>0.2</v>
      </c>
      <c r="E45" s="81">
        <v>0</v>
      </c>
      <c r="F45" s="81">
        <v>74</v>
      </c>
      <c r="G45" s="142">
        <v>1</v>
      </c>
      <c r="H45" s="240">
        <v>200</v>
      </c>
      <c r="I45" s="95">
        <v>4.7500000000000001E-2</v>
      </c>
      <c r="J45" s="96">
        <v>6.6900000000000001E-2</v>
      </c>
      <c r="K45" s="96">
        <v>9.1899999999999996E-2</v>
      </c>
      <c r="L45" s="96">
        <v>1.4500000000000001E-2</v>
      </c>
      <c r="M45" s="96">
        <v>3.2199999999999999E-2</v>
      </c>
      <c r="N45" s="96">
        <v>7.9799999999999996E-2</v>
      </c>
      <c r="O45" s="96">
        <v>7.17E-2</v>
      </c>
      <c r="P45" s="96">
        <v>6.2899999999999998E-2</v>
      </c>
      <c r="Q45" s="102">
        <v>4.6699999999999998E-2</v>
      </c>
      <c r="R45" s="95">
        <v>2.5000000000000001E-2</v>
      </c>
      <c r="S45" s="140">
        <v>2.18E-2</v>
      </c>
      <c r="T45" s="96">
        <v>2.7400000000000001E-2</v>
      </c>
      <c r="U45" s="96">
        <v>3.2199999999999999E-2</v>
      </c>
      <c r="V45" s="96">
        <v>1.21E-2</v>
      </c>
      <c r="W45" s="96">
        <v>3.2199999999999999E-2</v>
      </c>
      <c r="X45" s="96">
        <v>1.29E-2</v>
      </c>
      <c r="Y45" s="96">
        <v>9.9900000000000003E-2</v>
      </c>
      <c r="Z45" s="97">
        <v>1.77E-2</v>
      </c>
    </row>
    <row r="46" spans="1:26" ht="15.95" customHeight="1" x14ac:dyDescent="0.2">
      <c r="A46" s="143" t="s">
        <v>135</v>
      </c>
      <c r="B46" s="146">
        <v>713</v>
      </c>
      <c r="C46" s="236">
        <v>503</v>
      </c>
      <c r="D46" s="150">
        <v>0.4</v>
      </c>
      <c r="E46" s="146">
        <v>6</v>
      </c>
      <c r="F46" s="146">
        <v>164</v>
      </c>
      <c r="G46" s="160">
        <v>6</v>
      </c>
      <c r="H46" s="240">
        <v>200</v>
      </c>
      <c r="I46" s="155">
        <v>1.4E-2</v>
      </c>
      <c r="J46" s="156">
        <v>1.6799999999999999E-2</v>
      </c>
      <c r="K46" s="156">
        <v>1.4E-2</v>
      </c>
      <c r="L46" s="156">
        <v>4.07E-2</v>
      </c>
      <c r="M46" s="156">
        <v>0.11360000000000001</v>
      </c>
      <c r="N46" s="156">
        <v>9.7999999999999997E-3</v>
      </c>
      <c r="O46" s="156">
        <v>2.1000000000000001E-2</v>
      </c>
      <c r="P46" s="156">
        <v>2.3800000000000002E-2</v>
      </c>
      <c r="Q46" s="157">
        <v>1.12E-2</v>
      </c>
      <c r="R46" s="155">
        <v>0.1865</v>
      </c>
      <c r="S46" s="158">
        <v>1.12E-2</v>
      </c>
      <c r="T46" s="156">
        <v>2.3800000000000002E-2</v>
      </c>
      <c r="U46" s="156">
        <v>0.11360000000000001</v>
      </c>
      <c r="V46" s="156">
        <v>1.26E-2</v>
      </c>
      <c r="W46" s="156">
        <v>1.6799999999999999E-2</v>
      </c>
      <c r="X46" s="156">
        <v>1.26E-2</v>
      </c>
      <c r="Y46" s="156">
        <v>1.9599999999999999E-2</v>
      </c>
      <c r="Z46" s="159">
        <v>1.6799999999999999E-2</v>
      </c>
    </row>
    <row r="47" spans="1:26" ht="15.95" customHeight="1" x14ac:dyDescent="0.2">
      <c r="A47" s="143" t="s">
        <v>168</v>
      </c>
      <c r="B47" s="81">
        <v>502</v>
      </c>
      <c r="C47" s="236">
        <v>352</v>
      </c>
      <c r="D47" s="150">
        <v>0.4</v>
      </c>
      <c r="E47" s="81">
        <v>4</v>
      </c>
      <c r="F47" s="81">
        <v>10</v>
      </c>
      <c r="G47" s="142">
        <v>1</v>
      </c>
      <c r="H47" s="240">
        <v>200</v>
      </c>
      <c r="I47" s="95">
        <v>1.3899999999999999E-2</v>
      </c>
      <c r="J47" s="96">
        <v>2.9899999999999999E-2</v>
      </c>
      <c r="K47" s="96">
        <v>1.5900000000000001E-2</v>
      </c>
      <c r="L47" s="96">
        <v>2.9899999999999999E-2</v>
      </c>
      <c r="M47" s="96">
        <v>2.5899999999999999E-2</v>
      </c>
      <c r="N47" s="96">
        <v>1.7899999999999999E-2</v>
      </c>
      <c r="O47" s="96">
        <v>3.5900000000000001E-2</v>
      </c>
      <c r="P47" s="96">
        <v>0.13150000000000001</v>
      </c>
      <c r="Q47" s="102">
        <v>3.39E-2</v>
      </c>
      <c r="R47" s="95">
        <v>5.3800000000000001E-2</v>
      </c>
      <c r="S47" s="140">
        <v>1.3899999999999999E-2</v>
      </c>
      <c r="T47" s="96">
        <v>2.3900000000000001E-2</v>
      </c>
      <c r="U47" s="96">
        <v>1.9900000000000001E-2</v>
      </c>
      <c r="V47" s="96">
        <v>1.5900000000000001E-2</v>
      </c>
      <c r="W47" s="96">
        <v>4.7800000000000002E-2</v>
      </c>
      <c r="X47" s="96">
        <v>1.3899999999999999E-2</v>
      </c>
      <c r="Y47" s="96">
        <v>5.3800000000000001E-2</v>
      </c>
      <c r="Z47" s="97">
        <v>4.7800000000000002E-2</v>
      </c>
    </row>
    <row r="48" spans="1:26" ht="15.95" customHeight="1" x14ac:dyDescent="0.2">
      <c r="A48" s="143" t="s">
        <v>113</v>
      </c>
      <c r="B48" s="146">
        <v>573</v>
      </c>
      <c r="C48" s="236">
        <v>434</v>
      </c>
      <c r="D48" s="150">
        <v>0.3</v>
      </c>
      <c r="E48" s="81">
        <v>3</v>
      </c>
      <c r="F48" s="81">
        <v>91</v>
      </c>
      <c r="G48" s="142">
        <v>1</v>
      </c>
      <c r="H48" s="240">
        <v>200</v>
      </c>
      <c r="I48" s="155">
        <v>3.49E-2</v>
      </c>
      <c r="J48" s="156">
        <v>2.4400000000000002E-2</v>
      </c>
      <c r="K48" s="156">
        <v>1.0500000000000001E-2</v>
      </c>
      <c r="L48" s="156">
        <v>1.9199999999999998E-2</v>
      </c>
      <c r="M48" s="156">
        <v>7.6799999999999993E-2</v>
      </c>
      <c r="N48" s="156">
        <v>1.4E-2</v>
      </c>
      <c r="O48" s="156">
        <v>1.0500000000000001E-2</v>
      </c>
      <c r="P48" s="156">
        <v>0.1082</v>
      </c>
      <c r="Q48" s="157">
        <v>3.49E-2</v>
      </c>
      <c r="R48" s="155">
        <v>4.5400000000000003E-2</v>
      </c>
      <c r="S48" s="158">
        <v>1.4E-2</v>
      </c>
      <c r="T48" s="156">
        <v>0.15</v>
      </c>
      <c r="U48" s="156">
        <v>1.4E-2</v>
      </c>
      <c r="V48" s="156">
        <v>8.2000000000000003E-2</v>
      </c>
      <c r="W48" s="156">
        <v>1.5699999999999999E-2</v>
      </c>
      <c r="X48" s="156">
        <v>2.6200000000000001E-2</v>
      </c>
      <c r="Y48" s="156">
        <v>1.4E-2</v>
      </c>
      <c r="Z48" s="159">
        <v>1.4E-2</v>
      </c>
    </row>
    <row r="49" spans="1:26" ht="15.95" customHeight="1" x14ac:dyDescent="0.2">
      <c r="A49" s="143" t="s">
        <v>147</v>
      </c>
      <c r="B49" s="146">
        <v>784</v>
      </c>
      <c r="C49" s="236">
        <v>704</v>
      </c>
      <c r="D49" s="150">
        <v>0.1</v>
      </c>
      <c r="E49" s="81">
        <v>12</v>
      </c>
      <c r="F49" s="81">
        <v>56</v>
      </c>
      <c r="G49" s="142">
        <v>6</v>
      </c>
      <c r="H49" s="240">
        <v>200</v>
      </c>
      <c r="I49" s="155">
        <v>1.0200000000000001E-2</v>
      </c>
      <c r="J49" s="156">
        <v>1.0200000000000001E-2</v>
      </c>
      <c r="K49" s="156">
        <v>1.4E-2</v>
      </c>
      <c r="L49" s="156">
        <v>5.8700000000000002E-2</v>
      </c>
      <c r="M49" s="156">
        <v>1.2800000000000001E-2</v>
      </c>
      <c r="N49" s="156">
        <v>3.0599999999999999E-2</v>
      </c>
      <c r="O49" s="156">
        <v>1.0200000000000001E-2</v>
      </c>
      <c r="P49" s="156">
        <v>2.6800000000000001E-2</v>
      </c>
      <c r="Q49" s="157">
        <v>3.6999999999999998E-2</v>
      </c>
      <c r="R49" s="155">
        <v>8.8999999999999999E-3</v>
      </c>
      <c r="S49" s="158">
        <v>2.4199999999999999E-2</v>
      </c>
      <c r="T49" s="156">
        <v>0.2296</v>
      </c>
      <c r="U49" s="156">
        <v>1.4E-2</v>
      </c>
      <c r="V49" s="156">
        <v>1.5299999999999999E-2</v>
      </c>
      <c r="W49" s="156">
        <v>2.1700000000000001E-2</v>
      </c>
      <c r="X49" s="156">
        <v>1.0200000000000001E-2</v>
      </c>
      <c r="Y49" s="156">
        <v>1.0200000000000001E-2</v>
      </c>
      <c r="Z49" s="159">
        <v>1.66E-2</v>
      </c>
    </row>
    <row r="50" spans="1:26" ht="15.95" customHeight="1" x14ac:dyDescent="0.2">
      <c r="A50" s="143" t="s">
        <v>177</v>
      </c>
      <c r="B50" s="81">
        <v>1241</v>
      </c>
      <c r="C50" s="236">
        <v>1027</v>
      </c>
      <c r="D50" s="150">
        <v>0.2</v>
      </c>
      <c r="E50" s="81">
        <v>7</v>
      </c>
      <c r="F50" s="81">
        <v>11</v>
      </c>
      <c r="G50" s="142">
        <v>5</v>
      </c>
      <c r="H50" s="240">
        <v>200</v>
      </c>
      <c r="I50" s="95">
        <v>3.2199999999999999E-2</v>
      </c>
      <c r="J50" s="196">
        <v>3</v>
      </c>
      <c r="K50" s="96">
        <v>1.5299999999999999E-2</v>
      </c>
      <c r="L50" s="96">
        <v>1.21E-2</v>
      </c>
      <c r="M50" s="96">
        <v>1.4500000000000001E-2</v>
      </c>
      <c r="N50" s="96">
        <v>1.77E-2</v>
      </c>
      <c r="O50" s="96">
        <v>2.2599999999999999E-2</v>
      </c>
      <c r="P50" s="96">
        <v>3.4599999999999999E-2</v>
      </c>
      <c r="Q50" s="102">
        <v>6.0400000000000002E-2</v>
      </c>
      <c r="R50" s="95">
        <v>2.9000000000000001E-2</v>
      </c>
      <c r="S50" s="140">
        <v>4.6699999999999998E-2</v>
      </c>
      <c r="T50" s="96">
        <v>1.8499999999999999E-2</v>
      </c>
      <c r="U50" s="96">
        <v>3.2199999999999999E-2</v>
      </c>
      <c r="V50" s="96">
        <v>7.4899999999999994E-2</v>
      </c>
      <c r="W50" s="96">
        <v>8.4599999999999995E-2</v>
      </c>
      <c r="X50" s="96">
        <v>3.8699999999999998E-2</v>
      </c>
      <c r="Y50" s="96">
        <v>1.77E-2</v>
      </c>
      <c r="Z50" s="97">
        <v>6.6900000000000001E-2</v>
      </c>
    </row>
    <row r="51" spans="1:26" ht="15.95" customHeight="1" x14ac:dyDescent="0.2">
      <c r="A51" s="143" t="s">
        <v>169</v>
      </c>
      <c r="B51" s="81">
        <v>1329</v>
      </c>
      <c r="C51" s="236">
        <v>1199</v>
      </c>
      <c r="D51" s="150">
        <v>0.1</v>
      </c>
      <c r="E51" s="81">
        <v>6</v>
      </c>
      <c r="F51" s="81">
        <v>209</v>
      </c>
      <c r="G51" s="142">
        <v>2</v>
      </c>
      <c r="H51" s="240">
        <v>200</v>
      </c>
      <c r="I51" s="95">
        <v>4.82E-2</v>
      </c>
      <c r="J51" s="96">
        <v>1.35E-2</v>
      </c>
      <c r="K51" s="96">
        <v>2.4799999999999999E-2</v>
      </c>
      <c r="L51" s="96">
        <v>4.0599999999999997E-2</v>
      </c>
      <c r="M51" s="96">
        <v>1.35E-2</v>
      </c>
      <c r="N51" s="96">
        <v>2.41E-2</v>
      </c>
      <c r="O51" s="96">
        <v>6.25E-2</v>
      </c>
      <c r="P51" s="196">
        <v>0.13170000000000001</v>
      </c>
      <c r="Q51" s="102">
        <v>1.5800000000000002E-2</v>
      </c>
      <c r="R51" s="95">
        <v>3.4599999999999999E-2</v>
      </c>
      <c r="S51" s="140">
        <v>3.3099999999999997E-2</v>
      </c>
      <c r="T51" s="96">
        <v>4.7399999999999998E-2</v>
      </c>
      <c r="U51" s="96">
        <v>6.9199999999999998E-2</v>
      </c>
      <c r="V51" s="96">
        <v>4.1399999999999999E-2</v>
      </c>
      <c r="W51" s="96">
        <v>3.4599999999999999E-2</v>
      </c>
      <c r="X51" s="96">
        <v>1.5800000000000002E-2</v>
      </c>
      <c r="Y51" s="96">
        <v>3.39E-2</v>
      </c>
      <c r="Z51" s="97">
        <v>1.9599999999999999E-2</v>
      </c>
    </row>
    <row r="52" spans="1:26" ht="15.95" customHeight="1" x14ac:dyDescent="0.2">
      <c r="A52" s="83" t="s">
        <v>77</v>
      </c>
      <c r="B52" s="81">
        <v>1008</v>
      </c>
      <c r="C52" s="236">
        <v>714</v>
      </c>
      <c r="D52" s="150">
        <v>0.4</v>
      </c>
      <c r="E52" s="81">
        <v>11</v>
      </c>
      <c r="F52" s="81">
        <v>212</v>
      </c>
      <c r="G52" s="142">
        <v>8</v>
      </c>
      <c r="H52" s="145">
        <v>214</v>
      </c>
      <c r="I52" s="95">
        <v>6.2E-2</v>
      </c>
      <c r="J52" s="96">
        <v>1.8800000000000001E-2</v>
      </c>
      <c r="K52" s="96">
        <v>1.6500000000000001E-2</v>
      </c>
      <c r="L52" s="96">
        <v>1.8800000000000001E-2</v>
      </c>
      <c r="M52" s="96">
        <v>1.7899999999999999E-2</v>
      </c>
      <c r="N52" s="96">
        <v>2.1499999999999998E-2</v>
      </c>
      <c r="O52" s="96">
        <v>1.2E-2</v>
      </c>
      <c r="P52" s="96">
        <v>1.4800000000000001E-2</v>
      </c>
      <c r="Q52" s="102">
        <v>4.8599999999999997E-2</v>
      </c>
      <c r="R52" s="95">
        <v>4.07E-2</v>
      </c>
      <c r="S52" s="140">
        <v>3.3700000000000001E-2</v>
      </c>
      <c r="T52" s="96">
        <v>2.0799999999999999E-2</v>
      </c>
      <c r="U52" s="96">
        <v>7.1400000000000005E-2</v>
      </c>
      <c r="V52" s="96">
        <v>1.3899999999999999E-2</v>
      </c>
      <c r="W52" s="96">
        <v>9.2299999999999993E-2</v>
      </c>
      <c r="X52" s="96">
        <v>1.1900000000000001E-2</v>
      </c>
      <c r="Y52" s="195">
        <v>0.252</v>
      </c>
      <c r="Z52" s="97">
        <v>1.9800000000000002E-2</v>
      </c>
    </row>
    <row r="53" spans="1:26" ht="15.95" customHeight="1" x14ac:dyDescent="0.2">
      <c r="A53" s="143" t="s">
        <v>136</v>
      </c>
      <c r="B53" s="175">
        <v>992</v>
      </c>
      <c r="C53" s="237">
        <v>756</v>
      </c>
      <c r="D53" s="176">
        <v>0.3</v>
      </c>
      <c r="E53" s="175">
        <v>0</v>
      </c>
      <c r="F53" s="175">
        <v>96</v>
      </c>
      <c r="G53" s="177">
        <v>4</v>
      </c>
      <c r="H53" s="178">
        <v>30</v>
      </c>
      <c r="I53" s="179">
        <v>1.47E-2</v>
      </c>
      <c r="J53" s="180">
        <v>9.4200000000000006E-2</v>
      </c>
      <c r="K53" s="180">
        <v>0.1173</v>
      </c>
      <c r="L53" s="180">
        <v>1.47E-2</v>
      </c>
      <c r="M53" s="180">
        <v>5.2400000000000002E-2</v>
      </c>
      <c r="N53" s="180">
        <v>1.0500000000000001E-2</v>
      </c>
      <c r="O53" s="180">
        <v>0.20100000000000001</v>
      </c>
      <c r="P53" s="180">
        <v>6.2799999999999995E-2</v>
      </c>
      <c r="Q53" s="198">
        <v>0.17699999999999999</v>
      </c>
      <c r="R53" s="179">
        <v>1.0500000000000001E-2</v>
      </c>
      <c r="S53" s="182">
        <v>2.6200000000000001E-2</v>
      </c>
      <c r="T53" s="180">
        <v>0.17699999999999999</v>
      </c>
      <c r="U53" s="180">
        <v>4.19E-2</v>
      </c>
      <c r="V53" s="180">
        <v>1.3599999999999999E-2</v>
      </c>
      <c r="W53" s="180">
        <v>0.11940000000000001</v>
      </c>
      <c r="X53" s="180">
        <v>3.1399999999999997E-2</v>
      </c>
      <c r="Y53" s="180">
        <v>4.19E-2</v>
      </c>
      <c r="Z53" s="183">
        <v>1.47E-2</v>
      </c>
    </row>
    <row r="54" spans="1:26" ht="15.95" customHeight="1" x14ac:dyDescent="0.2">
      <c r="A54" s="143" t="s">
        <v>178</v>
      </c>
      <c r="B54" s="81">
        <v>784</v>
      </c>
      <c r="C54" s="236">
        <v>704</v>
      </c>
      <c r="D54" s="150">
        <v>0.1</v>
      </c>
      <c r="E54" s="81">
        <v>13</v>
      </c>
      <c r="F54" s="81">
        <v>79</v>
      </c>
      <c r="G54" s="142">
        <v>2</v>
      </c>
      <c r="H54" s="240">
        <v>200</v>
      </c>
      <c r="I54" s="95">
        <v>2.6800000000000001E-2</v>
      </c>
      <c r="J54" s="96">
        <v>1.66E-2</v>
      </c>
      <c r="K54" s="96">
        <v>4.5900000000000003E-2</v>
      </c>
      <c r="L54" s="96">
        <v>4.0800000000000003E-2</v>
      </c>
      <c r="M54" s="96">
        <v>1.66E-2</v>
      </c>
      <c r="N54" s="96">
        <v>1.66E-2</v>
      </c>
      <c r="O54" s="96">
        <v>1.15E-2</v>
      </c>
      <c r="P54" s="96">
        <v>2.5499999999999998E-2</v>
      </c>
      <c r="Q54" s="102">
        <v>3.6999999999999998E-2</v>
      </c>
      <c r="R54" s="95">
        <v>1.2800000000000001E-2</v>
      </c>
      <c r="S54" s="140">
        <v>6.5100000000000005E-2</v>
      </c>
      <c r="T54" s="96">
        <v>0.1862</v>
      </c>
      <c r="U54" s="96">
        <v>0.1071</v>
      </c>
      <c r="V54" s="96">
        <v>0.21560000000000001</v>
      </c>
      <c r="W54" s="96">
        <v>1.66E-2</v>
      </c>
      <c r="X54" s="96">
        <v>1.0200000000000001E-2</v>
      </c>
      <c r="Y54" s="195">
        <v>0.42980000000000002</v>
      </c>
      <c r="Z54" s="97">
        <v>2.93E-2</v>
      </c>
    </row>
    <row r="55" spans="1:26" ht="15.95" customHeight="1" x14ac:dyDescent="0.2">
      <c r="A55" s="143" t="s">
        <v>179</v>
      </c>
      <c r="B55" s="81">
        <v>574</v>
      </c>
      <c r="C55" s="236">
        <v>472</v>
      </c>
      <c r="D55" s="150">
        <v>0.2</v>
      </c>
      <c r="E55" s="81">
        <v>4</v>
      </c>
      <c r="F55" s="81">
        <v>194</v>
      </c>
      <c r="G55" s="142">
        <v>8</v>
      </c>
      <c r="H55" s="240">
        <v>200</v>
      </c>
      <c r="I55" s="95">
        <v>1.3899999999999999E-2</v>
      </c>
      <c r="J55" s="96">
        <v>2.2599999999999999E-2</v>
      </c>
      <c r="K55" s="96">
        <v>1.7399999999999999E-2</v>
      </c>
      <c r="L55" s="96">
        <v>1.3899999999999999E-2</v>
      </c>
      <c r="M55" s="96">
        <v>1.7399999999999999E-2</v>
      </c>
      <c r="N55" s="96">
        <v>1.3899999999999999E-2</v>
      </c>
      <c r="O55" s="96">
        <v>2.6100000000000002E-2</v>
      </c>
      <c r="P55" s="96">
        <v>4.7E-2</v>
      </c>
      <c r="Q55" s="102">
        <v>0.108</v>
      </c>
      <c r="R55" s="95">
        <v>2.6100000000000002E-2</v>
      </c>
      <c r="S55" s="140">
        <v>2.6100000000000002E-2</v>
      </c>
      <c r="T55" s="96">
        <v>2.0899999999999998E-2</v>
      </c>
      <c r="U55" s="96">
        <v>1.0500000000000001E-2</v>
      </c>
      <c r="V55" s="194">
        <v>0.75439999999999996</v>
      </c>
      <c r="W55" s="96">
        <v>5.7500000000000002E-2</v>
      </c>
      <c r="X55" s="96">
        <v>1.3899999999999999E-2</v>
      </c>
      <c r="Y55" s="96">
        <v>8.8900000000000007E-2</v>
      </c>
      <c r="Z55" s="97">
        <v>2.6100000000000002E-2</v>
      </c>
    </row>
    <row r="56" spans="1:26" ht="15.95" customHeight="1" x14ac:dyDescent="0.2">
      <c r="A56" s="143" t="s">
        <v>170</v>
      </c>
      <c r="B56" s="81">
        <v>755</v>
      </c>
      <c r="C56" s="236">
        <v>574</v>
      </c>
      <c r="D56" s="150">
        <v>0.3</v>
      </c>
      <c r="E56" s="81">
        <v>10</v>
      </c>
      <c r="F56" s="81">
        <v>184</v>
      </c>
      <c r="G56" s="142">
        <v>2</v>
      </c>
      <c r="H56" s="240">
        <v>200</v>
      </c>
      <c r="I56" s="95">
        <v>1.9900000000000001E-2</v>
      </c>
      <c r="J56" s="96">
        <v>2.6499999999999999E-2</v>
      </c>
      <c r="K56" s="196">
        <v>1.5033000000000001</v>
      </c>
      <c r="L56" s="194">
        <v>1</v>
      </c>
      <c r="M56" s="96">
        <v>1.46E-2</v>
      </c>
      <c r="N56" s="96">
        <v>1.46E-2</v>
      </c>
      <c r="O56" s="96">
        <v>2.3800000000000002E-2</v>
      </c>
      <c r="P56" s="96">
        <v>7.6799999999999993E-2</v>
      </c>
      <c r="Q56" s="102">
        <v>0.12189999999999999</v>
      </c>
      <c r="R56" s="95">
        <v>3.44E-2</v>
      </c>
      <c r="S56" s="140">
        <v>1.46E-2</v>
      </c>
      <c r="T56" s="96">
        <v>6.8900000000000003E-2</v>
      </c>
      <c r="U56" s="96">
        <v>3.44E-2</v>
      </c>
      <c r="V56" s="96">
        <v>1.1900000000000001E-2</v>
      </c>
      <c r="W56" s="96">
        <v>1.9900000000000001E-2</v>
      </c>
      <c r="X56" s="96">
        <v>1.1900000000000001E-2</v>
      </c>
      <c r="Y56" s="96">
        <v>1.9900000000000001E-2</v>
      </c>
      <c r="Z56" s="97">
        <v>1.06E-2</v>
      </c>
    </row>
    <row r="57" spans="1:26" ht="15.95" customHeight="1" x14ac:dyDescent="0.2">
      <c r="A57" s="143" t="s">
        <v>134</v>
      </c>
      <c r="B57" s="175">
        <v>1008</v>
      </c>
      <c r="C57" s="237">
        <v>714</v>
      </c>
      <c r="D57" s="176">
        <v>0.4</v>
      </c>
      <c r="E57" s="175">
        <v>1</v>
      </c>
      <c r="F57" s="175">
        <v>173</v>
      </c>
      <c r="G57" s="177">
        <v>3</v>
      </c>
      <c r="H57" s="178">
        <v>132</v>
      </c>
      <c r="I57" s="179">
        <v>4.7600000000000003E-2</v>
      </c>
      <c r="J57" s="180">
        <v>1.6899999999999998E-2</v>
      </c>
      <c r="K57" s="180">
        <v>2.7799999999999998E-2</v>
      </c>
      <c r="L57" s="180">
        <v>1.29E-2</v>
      </c>
      <c r="M57" s="180">
        <v>1.49E-2</v>
      </c>
      <c r="N57" s="180">
        <v>1.1900000000000001E-2</v>
      </c>
      <c r="O57" s="180">
        <v>1.9800000000000002E-2</v>
      </c>
      <c r="P57" s="199">
        <v>0.13800000000000001</v>
      </c>
      <c r="Q57" s="198">
        <v>0.42859999999999998</v>
      </c>
      <c r="R57" s="179">
        <v>4.7600000000000003E-2</v>
      </c>
      <c r="S57" s="182">
        <v>3.3700000000000001E-2</v>
      </c>
      <c r="T57" s="180">
        <v>2.6800000000000001E-2</v>
      </c>
      <c r="U57" s="180">
        <v>5.7500000000000002E-2</v>
      </c>
      <c r="V57" s="180">
        <v>7.2400000000000006E-2</v>
      </c>
      <c r="W57" s="180">
        <v>4.6600000000000003E-2</v>
      </c>
      <c r="X57" s="180">
        <v>1.3899999999999999E-2</v>
      </c>
      <c r="Y57" s="180">
        <v>1.6899999999999998E-2</v>
      </c>
      <c r="Z57" s="183">
        <v>1.49E-2</v>
      </c>
    </row>
    <row r="58" spans="1:26" ht="15.95" customHeight="1" x14ac:dyDescent="0.2">
      <c r="A58" s="143" t="s">
        <v>171</v>
      </c>
      <c r="B58" s="81">
        <v>574</v>
      </c>
      <c r="C58" s="236">
        <v>472</v>
      </c>
      <c r="D58" s="150">
        <v>0.2</v>
      </c>
      <c r="E58" s="81">
        <v>2</v>
      </c>
      <c r="F58" s="81">
        <v>101</v>
      </c>
      <c r="G58" s="142">
        <v>7</v>
      </c>
      <c r="H58" s="240">
        <v>200</v>
      </c>
      <c r="I58" s="95">
        <v>1.0500000000000001E-2</v>
      </c>
      <c r="J58" s="96">
        <v>1.3899999999999999E-2</v>
      </c>
      <c r="K58" s="96">
        <v>3.4799999999999998E-2</v>
      </c>
      <c r="L58" s="96">
        <v>1.3899999999999999E-2</v>
      </c>
      <c r="M58" s="96">
        <v>3.8300000000000001E-2</v>
      </c>
      <c r="N58" s="96">
        <v>1.7399999999999999E-2</v>
      </c>
      <c r="O58" s="96">
        <v>0.10100000000000001</v>
      </c>
      <c r="P58" s="96">
        <v>3.8300000000000001E-2</v>
      </c>
      <c r="Q58" s="102">
        <v>4.7E-2</v>
      </c>
      <c r="R58" s="95">
        <v>3.3099999999999997E-2</v>
      </c>
      <c r="S58" s="140">
        <v>5.3999999999999999E-2</v>
      </c>
      <c r="T58" s="96">
        <v>2.6100000000000002E-2</v>
      </c>
      <c r="U58" s="96">
        <v>2.0899999999999998E-2</v>
      </c>
      <c r="V58" s="96">
        <v>1.7399999999999999E-2</v>
      </c>
      <c r="W58" s="96">
        <v>1.3899999999999999E-2</v>
      </c>
      <c r="X58" s="96">
        <v>2.6100000000000002E-2</v>
      </c>
      <c r="Y58" s="96">
        <v>0.1411</v>
      </c>
      <c r="Z58" s="97">
        <v>1.3899999999999999E-2</v>
      </c>
    </row>
    <row r="59" spans="1:26" ht="15.95" customHeight="1" x14ac:dyDescent="0.2">
      <c r="A59" s="184" t="s">
        <v>133</v>
      </c>
      <c r="B59" s="175">
        <v>971</v>
      </c>
      <c r="C59" s="237">
        <v>874</v>
      </c>
      <c r="D59" s="176">
        <v>0.1</v>
      </c>
      <c r="E59" s="175">
        <v>15</v>
      </c>
      <c r="F59" s="175">
        <v>35</v>
      </c>
      <c r="G59" s="177">
        <v>6</v>
      </c>
      <c r="H59" s="241">
        <v>200</v>
      </c>
      <c r="I59" s="179">
        <v>7.7200000000000005E-2</v>
      </c>
      <c r="J59" s="180">
        <v>0.1153</v>
      </c>
      <c r="K59" s="180">
        <v>2.6800000000000001E-2</v>
      </c>
      <c r="L59" s="180">
        <v>2.7799999999999998E-2</v>
      </c>
      <c r="M59" s="180">
        <v>2.47E-2</v>
      </c>
      <c r="N59" s="180">
        <v>5.3600000000000002E-2</v>
      </c>
      <c r="O59" s="180">
        <v>3.7100000000000001E-2</v>
      </c>
      <c r="P59" s="180">
        <v>2.6800000000000001E-2</v>
      </c>
      <c r="Q59" s="181">
        <v>2.1600000000000001E-2</v>
      </c>
      <c r="R59" s="179">
        <v>2.06E-2</v>
      </c>
      <c r="S59" s="182">
        <v>6.4899999999999999E-2</v>
      </c>
      <c r="T59" s="180">
        <v>1.1299999999999999E-2</v>
      </c>
      <c r="U59" s="180">
        <v>1.1299999999999999E-2</v>
      </c>
      <c r="V59" s="180">
        <v>6.3899999999999998E-2</v>
      </c>
      <c r="W59" s="180">
        <v>1.7500000000000002E-2</v>
      </c>
      <c r="X59" s="180">
        <v>0.10299999999999999</v>
      </c>
      <c r="Y59" s="180">
        <v>5.9700000000000003E-2</v>
      </c>
      <c r="Z59" s="183">
        <v>1.03E-2</v>
      </c>
    </row>
    <row r="60" spans="1:26" ht="15.95" customHeight="1" x14ac:dyDescent="0.2">
      <c r="A60" s="143" t="s">
        <v>180</v>
      </c>
      <c r="B60" s="81">
        <v>1421</v>
      </c>
      <c r="C60" s="236">
        <v>1009</v>
      </c>
      <c r="D60" s="150">
        <v>0.4</v>
      </c>
      <c r="E60" s="81">
        <v>14</v>
      </c>
      <c r="F60" s="81">
        <v>192</v>
      </c>
      <c r="G60" s="142">
        <v>3</v>
      </c>
      <c r="H60" s="240">
        <v>200</v>
      </c>
      <c r="I60" s="95">
        <v>2.3900000000000001E-2</v>
      </c>
      <c r="J60" s="96">
        <v>1.9699999999999999E-2</v>
      </c>
      <c r="K60" s="96">
        <v>2.3900000000000001E-2</v>
      </c>
      <c r="L60" s="96">
        <v>3.7999999999999999E-2</v>
      </c>
      <c r="M60" s="196">
        <v>0.75019999999999998</v>
      </c>
      <c r="N60" s="195">
        <v>0.27300000000000002</v>
      </c>
      <c r="O60" s="96">
        <v>2.3900000000000001E-2</v>
      </c>
      <c r="P60" s="96">
        <v>1.55E-2</v>
      </c>
      <c r="Q60" s="102">
        <v>1.7600000000000001E-2</v>
      </c>
      <c r="R60" s="95">
        <v>1.41E-2</v>
      </c>
      <c r="S60" s="140">
        <v>4.7899999999999998E-2</v>
      </c>
      <c r="T60" s="96">
        <v>1.2E-2</v>
      </c>
      <c r="U60" s="196">
        <v>3</v>
      </c>
      <c r="V60" s="96">
        <v>4.36E-2</v>
      </c>
      <c r="W60" s="96">
        <v>3.7999999999999999E-2</v>
      </c>
      <c r="X60" s="96">
        <v>6.4000000000000001E-2</v>
      </c>
      <c r="Y60" s="96">
        <v>1.2E-2</v>
      </c>
      <c r="Z60" s="97">
        <v>4.1500000000000002E-2</v>
      </c>
    </row>
    <row r="61" spans="1:26" ht="15.95" customHeight="1" x14ac:dyDescent="0.2">
      <c r="A61" s="143" t="s">
        <v>172</v>
      </c>
      <c r="B61" s="81">
        <v>971</v>
      </c>
      <c r="C61" s="236">
        <v>874</v>
      </c>
      <c r="D61" s="150">
        <v>0.1</v>
      </c>
      <c r="E61" s="81">
        <v>0</v>
      </c>
      <c r="F61" s="81">
        <v>44</v>
      </c>
      <c r="G61" s="142">
        <v>4</v>
      </c>
      <c r="H61" s="240">
        <v>200</v>
      </c>
      <c r="I61" s="95">
        <v>1.1299999999999999E-2</v>
      </c>
      <c r="J61" s="96">
        <v>8.5500000000000007E-2</v>
      </c>
      <c r="K61" s="96">
        <v>2.3699999999999999E-2</v>
      </c>
      <c r="L61" s="96">
        <v>4.7399999999999998E-2</v>
      </c>
      <c r="M61" s="96">
        <v>1.1299999999999999E-2</v>
      </c>
      <c r="N61" s="96">
        <v>2.1600000000000001E-2</v>
      </c>
      <c r="O61" s="96">
        <v>1.7500000000000002E-2</v>
      </c>
      <c r="P61" s="96">
        <v>1.03E-2</v>
      </c>
      <c r="Q61" s="102">
        <v>9.2999999999999992E-3</v>
      </c>
      <c r="R61" s="95">
        <v>2.9899999999999999E-2</v>
      </c>
      <c r="S61" s="140">
        <v>1.03E-2</v>
      </c>
      <c r="T61" s="96">
        <v>3.09E-2</v>
      </c>
      <c r="U61" s="96">
        <v>1.54E-2</v>
      </c>
      <c r="V61" s="96">
        <v>1.9599999999999999E-2</v>
      </c>
      <c r="W61" s="96">
        <v>1.54E-2</v>
      </c>
      <c r="X61" s="96">
        <v>1.9599999999999999E-2</v>
      </c>
      <c r="Y61" s="96">
        <v>1.9599999999999999E-2</v>
      </c>
      <c r="Z61" s="97">
        <v>1.03E-2</v>
      </c>
    </row>
    <row r="62" spans="1:26" ht="15.95" customHeight="1" x14ac:dyDescent="0.2">
      <c r="A62" s="143" t="s">
        <v>156</v>
      </c>
      <c r="B62" s="202"/>
      <c r="C62" s="236"/>
      <c r="D62" s="150">
        <v>0.2</v>
      </c>
      <c r="E62" s="81">
        <v>1</v>
      </c>
      <c r="F62" s="81">
        <v>2</v>
      </c>
      <c r="G62" s="142">
        <v>6</v>
      </c>
      <c r="H62" s="240">
        <v>227</v>
      </c>
      <c r="I62" s="203"/>
      <c r="J62" s="204"/>
      <c r="K62" s="204"/>
      <c r="L62" s="204"/>
      <c r="M62" s="204"/>
      <c r="N62" s="204"/>
      <c r="O62" s="204"/>
      <c r="P62" s="204"/>
      <c r="Q62" s="205"/>
      <c r="R62" s="203"/>
      <c r="S62" s="206"/>
      <c r="T62" s="204"/>
      <c r="U62" s="204"/>
      <c r="V62" s="204"/>
      <c r="W62" s="204"/>
      <c r="X62" s="204"/>
      <c r="Y62" s="204"/>
      <c r="Z62" s="207"/>
    </row>
    <row r="63" spans="1:26" ht="9.75" customHeight="1" thickBot="1" x14ac:dyDescent="0.25">
      <c r="A63" s="84"/>
      <c r="B63" s="82"/>
      <c r="C63" s="82"/>
      <c r="D63" s="82"/>
      <c r="E63" s="82"/>
      <c r="F63" s="82"/>
      <c r="G63" s="99"/>
      <c r="H63" s="141"/>
      <c r="I63" s="98"/>
      <c r="J63" s="99"/>
      <c r="K63" s="99"/>
      <c r="L63" s="99"/>
      <c r="M63" s="99"/>
      <c r="N63" s="99"/>
      <c r="O63" s="99"/>
      <c r="P63" s="99"/>
      <c r="Q63" s="103"/>
      <c r="R63" s="98"/>
      <c r="S63" s="141"/>
      <c r="T63" s="99"/>
      <c r="U63" s="99"/>
      <c r="V63" s="99"/>
      <c r="W63" s="99"/>
      <c r="X63" s="99"/>
      <c r="Y63" s="99"/>
      <c r="Z63" s="100"/>
    </row>
    <row r="64" spans="1:26" ht="15.95" customHeight="1" x14ac:dyDescent="0.2">
      <c r="A64" s="78"/>
    </row>
    <row r="65" spans="1:17" ht="15.95" customHeight="1" x14ac:dyDescent="0.2">
      <c r="A65" s="78"/>
      <c r="B65" s="154"/>
      <c r="C65" s="154"/>
    </row>
    <row r="66" spans="1:17" ht="15.95" customHeight="1" x14ac:dyDescent="0.2">
      <c r="A66" s="78"/>
      <c r="B66" s="153" t="s">
        <v>110</v>
      </c>
      <c r="C66" s="153"/>
      <c r="P66" s="190"/>
      <c r="Q66" s="191" t="s">
        <v>140</v>
      </c>
    </row>
    <row r="67" spans="1:17" ht="15.95" customHeight="1" x14ac:dyDescent="0.2">
      <c r="A67" s="78"/>
      <c r="B67" s="154"/>
      <c r="C67" s="154"/>
    </row>
    <row r="68" spans="1:17" ht="15.95" customHeight="1" x14ac:dyDescent="0.2">
      <c r="A68" s="78"/>
      <c r="B68" s="153" t="s">
        <v>117</v>
      </c>
      <c r="C68" s="153"/>
      <c r="P68" s="192"/>
      <c r="Q68" s="191" t="s">
        <v>141</v>
      </c>
    </row>
    <row r="69" spans="1:17" ht="15.95" customHeight="1" x14ac:dyDescent="0.2">
      <c r="A69" s="78"/>
      <c r="B69" s="153" t="s">
        <v>112</v>
      </c>
      <c r="C69" s="153"/>
    </row>
    <row r="70" spans="1:17" ht="15.95" customHeight="1" x14ac:dyDescent="0.2">
      <c r="A70" s="78"/>
      <c r="B70" s="154"/>
      <c r="C70" s="154"/>
      <c r="P70" s="193"/>
      <c r="Q70" s="191" t="s">
        <v>142</v>
      </c>
    </row>
    <row r="71" spans="1:17" ht="15.95" customHeight="1" x14ac:dyDescent="0.2">
      <c r="A71" s="78"/>
      <c r="B71" s="153" t="s">
        <v>212</v>
      </c>
      <c r="C71" s="153"/>
    </row>
    <row r="72" spans="1:17" ht="15.95" customHeight="1" x14ac:dyDescent="0.2">
      <c r="A72" s="78"/>
      <c r="B72" s="153" t="s">
        <v>213</v>
      </c>
      <c r="C72" s="154"/>
    </row>
    <row r="73" spans="1:17" ht="15.95" customHeight="1" x14ac:dyDescent="0.2">
      <c r="A73" s="78"/>
      <c r="C73" s="187"/>
    </row>
    <row r="74" spans="1:17" ht="15.95" customHeight="1" x14ac:dyDescent="0.2">
      <c r="A74" s="78"/>
      <c r="B74" s="153" t="s">
        <v>214</v>
      </c>
      <c r="C74" s="153"/>
    </row>
    <row r="75" spans="1:17" ht="15.95" customHeight="1" x14ac:dyDescent="0.2">
      <c r="A75" s="78"/>
      <c r="B75" s="153"/>
      <c r="C75" s="153"/>
    </row>
    <row r="76" spans="1:17" ht="15.95" customHeight="1" x14ac:dyDescent="0.2">
      <c r="A76" s="78"/>
      <c r="B76" s="153" t="s">
        <v>215</v>
      </c>
      <c r="C76" s="153"/>
    </row>
    <row r="77" spans="1:17" ht="15.95" customHeight="1" x14ac:dyDescent="0.2">
      <c r="A77" s="78"/>
    </row>
    <row r="78" spans="1:17" ht="15.95" customHeight="1" x14ac:dyDescent="0.2">
      <c r="A78" s="78"/>
    </row>
    <row r="79" spans="1:17" ht="15.95" customHeight="1" x14ac:dyDescent="0.2">
      <c r="A79" s="78"/>
    </row>
    <row r="80" spans="1:17" ht="15.95" customHeight="1" x14ac:dyDescent="0.2">
      <c r="A80" s="78"/>
    </row>
    <row r="81" spans="1:1" ht="15.95" customHeight="1" x14ac:dyDescent="0.2">
      <c r="A81" s="78"/>
    </row>
    <row r="82" spans="1:1" ht="15.95" customHeight="1" x14ac:dyDescent="0.2">
      <c r="A82" s="78"/>
    </row>
    <row r="83" spans="1:1" ht="15.95" customHeight="1" x14ac:dyDescent="0.2">
      <c r="A83" s="78"/>
    </row>
    <row r="84" spans="1:1" ht="15.95" customHeight="1" x14ac:dyDescent="0.2">
      <c r="A84" s="78"/>
    </row>
    <row r="85" spans="1:1" ht="15.95" customHeight="1" x14ac:dyDescent="0.2">
      <c r="A85" s="78"/>
    </row>
    <row r="86" spans="1:1" ht="15.95" customHeight="1" x14ac:dyDescent="0.2">
      <c r="A86" s="78"/>
    </row>
    <row r="87" spans="1:1" ht="15.95" customHeight="1" x14ac:dyDescent="0.2">
      <c r="A87" s="78"/>
    </row>
  </sheetData>
  <mergeCells count="3">
    <mergeCell ref="I1:Z1"/>
    <mergeCell ref="I2:Q2"/>
    <mergeCell ref="R2:Z2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tabSelected="1" workbookViewId="0">
      <selection activeCell="B2" sqref="B2:C2"/>
    </sheetView>
  </sheetViews>
  <sheetFormatPr defaultRowHeight="12" x14ac:dyDescent="0.2"/>
  <cols>
    <col min="1" max="1" width="15.140625" style="2" customWidth="1"/>
    <col min="2" max="3" width="9.7109375" style="2" customWidth="1"/>
    <col min="4" max="4" width="11.85546875" style="2" customWidth="1"/>
    <col min="5" max="5" width="9.7109375" style="2" customWidth="1"/>
    <col min="6" max="6" width="9" style="2" customWidth="1"/>
    <col min="7" max="7" width="6.140625" style="2" customWidth="1"/>
    <col min="8" max="8" width="6.5703125" style="2" customWidth="1"/>
    <col min="9" max="10" width="7" style="2" bestFit="1" customWidth="1"/>
    <col min="11" max="12" width="6.5703125" style="2" customWidth="1"/>
    <col min="13" max="13" width="6.85546875" style="2" customWidth="1"/>
    <col min="14" max="14" width="7.85546875" style="2" bestFit="1" customWidth="1"/>
    <col min="15" max="15" width="6.85546875" style="2" customWidth="1"/>
    <col min="16" max="16" width="10.28515625" style="2" customWidth="1"/>
    <col min="17" max="18" width="9.140625" style="2"/>
    <col min="19" max="19" width="16" style="2" customWidth="1"/>
    <col min="20" max="20" width="27.85546875" style="2" customWidth="1"/>
    <col min="21" max="16384" width="9.140625" style="2"/>
  </cols>
  <sheetData>
    <row r="1" spans="1:20" ht="12.75" customHeight="1" x14ac:dyDescent="0.2">
      <c r="B1" s="339" t="s">
        <v>72</v>
      </c>
      <c r="C1" s="340"/>
      <c r="D1" s="338" t="s">
        <v>216</v>
      </c>
      <c r="E1" s="63"/>
      <c r="H1" s="269" t="str">
        <f>IF(S6&lt;&gt;"",S6,CONCATENATE(T18,T19,T20,T21,T22,"Beer.",T23,T24,T25,T26,T27,T28,T29,T30,T31,T32,T33,T34,T35,T36,T37,T38))</f>
        <v>Cloying Beer.</v>
      </c>
      <c r="I1" s="270"/>
      <c r="J1" s="270"/>
      <c r="K1" s="270"/>
      <c r="L1" s="270"/>
      <c r="M1" s="270"/>
      <c r="N1" s="270"/>
      <c r="O1" s="270"/>
      <c r="P1" s="270"/>
      <c r="Q1" s="271"/>
    </row>
    <row r="2" spans="1:20" ht="12.75" customHeight="1" x14ac:dyDescent="0.2">
      <c r="A2" s="341" t="s">
        <v>181</v>
      </c>
      <c r="B2" s="342" t="s">
        <v>77</v>
      </c>
      <c r="C2" s="343"/>
      <c r="D2" s="344">
        <v>1200</v>
      </c>
      <c r="E2" s="63"/>
      <c r="H2" s="272"/>
      <c r="I2" s="273"/>
      <c r="J2" s="273"/>
      <c r="K2" s="273"/>
      <c r="L2" s="273"/>
      <c r="M2" s="273"/>
      <c r="N2" s="273"/>
      <c r="O2" s="273"/>
      <c r="P2" s="273"/>
      <c r="Q2" s="274"/>
    </row>
    <row r="3" spans="1:20" ht="12.75" customHeight="1" x14ac:dyDescent="0.2">
      <c r="A3" s="235" t="s">
        <v>182</v>
      </c>
      <c r="B3" s="345" t="s">
        <v>204</v>
      </c>
      <c r="C3" s="346"/>
      <c r="D3" s="347"/>
      <c r="H3" s="275"/>
      <c r="I3" s="276"/>
      <c r="J3" s="276"/>
      <c r="K3" s="276"/>
      <c r="L3" s="276"/>
      <c r="M3" s="276"/>
      <c r="N3" s="276"/>
      <c r="O3" s="276"/>
      <c r="P3" s="276"/>
      <c r="Q3" s="277"/>
    </row>
    <row r="4" spans="1:20" x14ac:dyDescent="0.2">
      <c r="A4" s="234"/>
      <c r="B4" s="280"/>
      <c r="C4" s="280"/>
    </row>
    <row r="5" spans="1:20" s="72" customFormat="1" ht="27.75" customHeight="1" thickBot="1" x14ac:dyDescent="0.25">
      <c r="B5" s="72" t="s">
        <v>7</v>
      </c>
      <c r="C5" s="73" t="s">
        <v>27</v>
      </c>
      <c r="D5" s="73" t="s">
        <v>70</v>
      </c>
      <c r="E5" s="72" t="s">
        <v>5</v>
      </c>
      <c r="F5" s="72" t="s">
        <v>6</v>
      </c>
      <c r="G5" s="72" t="s">
        <v>8</v>
      </c>
      <c r="H5" s="72" t="s">
        <v>10</v>
      </c>
      <c r="I5" s="72" t="s">
        <v>11</v>
      </c>
      <c r="J5" s="72" t="s">
        <v>64</v>
      </c>
      <c r="K5" s="72" t="s">
        <v>28</v>
      </c>
      <c r="L5" s="72" t="s">
        <v>65</v>
      </c>
      <c r="M5" s="72" t="s">
        <v>4</v>
      </c>
      <c r="N5" s="72" t="s">
        <v>69</v>
      </c>
    </row>
    <row r="6" spans="1:20" ht="12.95" customHeight="1" x14ac:dyDescent="0.2">
      <c r="A6" s="40" t="s">
        <v>0</v>
      </c>
      <c r="B6" s="52"/>
      <c r="C6" s="32"/>
      <c r="D6" s="125">
        <f>IF(AND(C6&lt;12,C6&gt;0),12,FLOOR(C6+5,12))</f>
        <v>0</v>
      </c>
      <c r="E6" s="115">
        <v>0</v>
      </c>
      <c r="F6" s="26">
        <f>B6*2</f>
        <v>0</v>
      </c>
      <c r="G6" s="23">
        <f>ROUND(B6*12*(D6+240)/1440,0)</f>
        <v>0</v>
      </c>
      <c r="H6" s="23">
        <v>0</v>
      </c>
      <c r="I6" s="23">
        <v>0</v>
      </c>
      <c r="J6" s="26">
        <v>0</v>
      </c>
      <c r="K6" s="23">
        <v>0</v>
      </c>
      <c r="L6" s="26">
        <v>0</v>
      </c>
      <c r="M6" s="26">
        <v>0</v>
      </c>
      <c r="N6" s="27">
        <v>0</v>
      </c>
      <c r="P6" s="8" t="s">
        <v>12</v>
      </c>
      <c r="Q6" s="9">
        <f>Fermentation!I134+Fermentation!Y134</f>
        <v>1008</v>
      </c>
      <c r="S6" s="266" t="str">
        <f>IF(T8&lt;&gt;"",T8,IF(T9&lt;&gt;"",T9,IF(T10&lt;&gt;"",T10,IF(T11&lt;&gt;"",T11,IF(T12&lt;&gt;"",T12,IF(T13&lt;&gt;"",T13,IF(T14&lt;&gt;"",T14,IF(T15&lt;&gt;"",T15,IF(T16&lt;&gt;"",T16,"")))))))))</f>
        <v>Cloying Beer.</v>
      </c>
      <c r="T6" s="267"/>
    </row>
    <row r="7" spans="1:20" ht="12.95" customHeight="1" x14ac:dyDescent="0.2">
      <c r="A7" s="41" t="s">
        <v>0</v>
      </c>
      <c r="B7" s="53"/>
      <c r="C7" s="33"/>
      <c r="D7" s="126">
        <f t="shared" ref="D7:D27" si="0">IF(AND(C7&lt;12,C7&gt;0),12,FLOOR(C7+5,12))</f>
        <v>0</v>
      </c>
      <c r="E7" s="116">
        <v>0</v>
      </c>
      <c r="F7" s="17">
        <f>B7*2</f>
        <v>0</v>
      </c>
      <c r="G7" s="17">
        <f>ROUND(B7*12*(D7+240)/1440,0)</f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28">
        <v>0</v>
      </c>
      <c r="P7" s="10" t="s">
        <v>13</v>
      </c>
      <c r="Q7" s="11">
        <f>G28</f>
        <v>0</v>
      </c>
      <c r="S7" s="268"/>
      <c r="T7" s="268"/>
    </row>
    <row r="8" spans="1:20" ht="12.95" customHeight="1" x14ac:dyDescent="0.2">
      <c r="A8" s="42" t="s">
        <v>1</v>
      </c>
      <c r="B8" s="54"/>
      <c r="C8" s="34"/>
      <c r="D8" s="127">
        <f t="shared" si="0"/>
        <v>0</v>
      </c>
      <c r="E8" s="117">
        <f t="shared" ref="E8:E13" si="1">B8*2</f>
        <v>0</v>
      </c>
      <c r="F8" s="18">
        <f t="shared" ref="F8:F13" si="2">B8*10</f>
        <v>0</v>
      </c>
      <c r="G8" s="69">
        <f>ROUND(B8*6*(D8+240)/1440,0)</f>
        <v>0</v>
      </c>
      <c r="H8" s="69">
        <f>ROUND(B8*1.5*(D8+240)/1440,0)</f>
        <v>0</v>
      </c>
      <c r="I8" s="69">
        <f t="shared" ref="I8:I13" si="3">ROUND(B8*6*(D8+240)/1440,0)</f>
        <v>0</v>
      </c>
      <c r="J8" s="18">
        <v>0</v>
      </c>
      <c r="K8" s="69">
        <v>0</v>
      </c>
      <c r="L8" s="18">
        <v>0</v>
      </c>
      <c r="M8" s="18">
        <v>0</v>
      </c>
      <c r="N8" s="29">
        <f>ROUND((B8*6000)/(D8+240),0)</f>
        <v>0</v>
      </c>
      <c r="P8" s="10" t="s">
        <v>71</v>
      </c>
      <c r="Q8" s="11">
        <f>Fermentation!I131+Fermentation!Y131</f>
        <v>0</v>
      </c>
      <c r="S8" s="188" t="s">
        <v>123</v>
      </c>
      <c r="T8" s="172" t="str">
        <f>IF(Q8&gt;50,IF(Q6&lt;100,"Moldy Soup.","Moldy Beer."),"")</f>
        <v/>
      </c>
    </row>
    <row r="9" spans="1:20" ht="12.95" customHeight="1" x14ac:dyDescent="0.2">
      <c r="A9" s="43" t="s">
        <v>1</v>
      </c>
      <c r="B9" s="55"/>
      <c r="C9" s="35"/>
      <c r="D9" s="128">
        <f t="shared" si="0"/>
        <v>0</v>
      </c>
      <c r="E9" s="118">
        <f t="shared" si="1"/>
        <v>0</v>
      </c>
      <c r="F9" s="19">
        <f t="shared" si="2"/>
        <v>0</v>
      </c>
      <c r="G9" s="70">
        <f>ROUND(B9*6*(D9+240)/1440,0)</f>
        <v>0</v>
      </c>
      <c r="H9" s="70">
        <f>ROUND(B9*1.5*(D9+240)/1440,0)</f>
        <v>0</v>
      </c>
      <c r="I9" s="70">
        <f t="shared" si="3"/>
        <v>0</v>
      </c>
      <c r="J9" s="19">
        <v>0</v>
      </c>
      <c r="K9" s="70">
        <v>0</v>
      </c>
      <c r="L9" s="19">
        <v>0</v>
      </c>
      <c r="M9" s="19">
        <v>0</v>
      </c>
      <c r="N9" s="68">
        <f>ROUND((B9*6000)/(D9+240),0)</f>
        <v>0</v>
      </c>
      <c r="P9" s="10" t="s">
        <v>68</v>
      </c>
      <c r="Q9" s="11">
        <f>IF(Fermentation!F113&lt;0,0,Fermentation!F113)</f>
        <v>181</v>
      </c>
      <c r="S9" s="189" t="s">
        <v>124</v>
      </c>
      <c r="T9" s="173" t="str">
        <f>IF(Q17&gt;50,IF(Q6&lt;100,"Vinegar Soup.","Vinegar Beer."),"")</f>
        <v/>
      </c>
    </row>
    <row r="10" spans="1:20" ht="12.95" customHeight="1" x14ac:dyDescent="0.2">
      <c r="A10" s="44" t="s">
        <v>2</v>
      </c>
      <c r="B10" s="56"/>
      <c r="C10" s="36"/>
      <c r="D10" s="129">
        <f t="shared" si="0"/>
        <v>0</v>
      </c>
      <c r="E10" s="119">
        <f t="shared" si="1"/>
        <v>0</v>
      </c>
      <c r="F10" s="16">
        <f t="shared" si="2"/>
        <v>0</v>
      </c>
      <c r="G10" s="4">
        <f>ROUND(B10*3*(D10+240)/1440,0)</f>
        <v>0</v>
      </c>
      <c r="H10" s="16">
        <f>ROUND(B10*2*(D10+240)/1440,0)</f>
        <v>0</v>
      </c>
      <c r="I10" s="4">
        <f t="shared" si="3"/>
        <v>0</v>
      </c>
      <c r="J10" s="16">
        <v>0</v>
      </c>
      <c r="K10" s="4">
        <v>0</v>
      </c>
      <c r="L10" s="16">
        <v>0</v>
      </c>
      <c r="M10" s="16">
        <v>0</v>
      </c>
      <c r="N10" s="30">
        <f>ROUND((B10*8400)/(D10+240),0)</f>
        <v>0</v>
      </c>
      <c r="P10" s="10"/>
      <c r="Q10" s="11"/>
      <c r="S10" s="189" t="s">
        <v>125</v>
      </c>
      <c r="T10" s="173" t="str">
        <f>IF(Q6&lt;100,"Nonalcoholic Soup.","")</f>
        <v/>
      </c>
    </row>
    <row r="11" spans="1:20" ht="12.95" customHeight="1" x14ac:dyDescent="0.2">
      <c r="A11" s="41" t="s">
        <v>2</v>
      </c>
      <c r="B11" s="53"/>
      <c r="C11" s="33"/>
      <c r="D11" s="126">
        <f t="shared" si="0"/>
        <v>0</v>
      </c>
      <c r="E11" s="116">
        <f t="shared" si="1"/>
        <v>0</v>
      </c>
      <c r="F11" s="17">
        <f t="shared" si="2"/>
        <v>0</v>
      </c>
      <c r="G11" s="7">
        <f>ROUND(B11*3*(D11+240)/1440,0)</f>
        <v>0</v>
      </c>
      <c r="H11" s="5">
        <f>ROUND(B11*2*(D11+240)/1440,0)</f>
        <v>0</v>
      </c>
      <c r="I11" s="7">
        <f t="shared" si="3"/>
        <v>0</v>
      </c>
      <c r="J11" s="17">
        <v>0</v>
      </c>
      <c r="K11" s="7">
        <v>0</v>
      </c>
      <c r="L11" s="17">
        <v>0</v>
      </c>
      <c r="M11" s="17">
        <v>0</v>
      </c>
      <c r="N11" s="67">
        <f>ROUND((B11*8400)/(D11+240),0)</f>
        <v>0</v>
      </c>
      <c r="P11" s="10" t="s">
        <v>14</v>
      </c>
      <c r="Q11" s="11">
        <f>Fermentation!D113</f>
        <v>192</v>
      </c>
      <c r="S11" s="189" t="s">
        <v>126</v>
      </c>
      <c r="T11" s="173" t="str">
        <f>IF(Q16+Q17&gt;Q11+Q12,"Sour Beer.","")</f>
        <v/>
      </c>
    </row>
    <row r="12" spans="1:20" ht="12.95" customHeight="1" x14ac:dyDescent="0.2">
      <c r="A12" s="42" t="s">
        <v>3</v>
      </c>
      <c r="B12" s="54"/>
      <c r="C12" s="34"/>
      <c r="D12" s="127">
        <f t="shared" si="0"/>
        <v>0</v>
      </c>
      <c r="E12" s="117">
        <f t="shared" si="1"/>
        <v>0</v>
      </c>
      <c r="F12" s="18">
        <f t="shared" si="2"/>
        <v>0</v>
      </c>
      <c r="G12" s="71">
        <f>ROUND(B12*1.5*(D12+240)/1440,0)</f>
        <v>0</v>
      </c>
      <c r="H12" s="71">
        <f>ROUND(B12*3*(D12+240)/1440,0)</f>
        <v>0</v>
      </c>
      <c r="I12" s="71">
        <f t="shared" si="3"/>
        <v>0</v>
      </c>
      <c r="J12" s="18">
        <v>0</v>
      </c>
      <c r="K12" s="71">
        <f>ROUND(B12*1.5*(D12+240)/1440,0)</f>
        <v>0</v>
      </c>
      <c r="L12" s="18">
        <v>0</v>
      </c>
      <c r="M12" s="18">
        <v>0</v>
      </c>
      <c r="N12" s="29">
        <f>ROUND((B12*12000)/(D12+240),0)</f>
        <v>0</v>
      </c>
      <c r="P12" s="10" t="s">
        <v>15</v>
      </c>
      <c r="Q12" s="11">
        <f>Fermentation!E113</f>
        <v>0</v>
      </c>
      <c r="S12" s="189" t="s">
        <v>127</v>
      </c>
      <c r="T12" s="173" t="str">
        <f>IF(Q39&gt;100,"Nasty Beer.","")</f>
        <v/>
      </c>
    </row>
    <row r="13" spans="1:20" ht="12.95" customHeight="1" x14ac:dyDescent="0.2">
      <c r="A13" s="43" t="s">
        <v>3</v>
      </c>
      <c r="B13" s="55"/>
      <c r="C13" s="35"/>
      <c r="D13" s="128">
        <f t="shared" si="0"/>
        <v>0</v>
      </c>
      <c r="E13" s="118">
        <f t="shared" si="1"/>
        <v>0</v>
      </c>
      <c r="F13" s="19">
        <f t="shared" si="2"/>
        <v>0</v>
      </c>
      <c r="G13" s="70">
        <f>ROUND(B13*1.5*(D13+240)/1440,0)</f>
        <v>0</v>
      </c>
      <c r="H13" s="70">
        <f>ROUND(B13*3*(D13+240)/1440,0)</f>
        <v>0</v>
      </c>
      <c r="I13" s="70">
        <f t="shared" si="3"/>
        <v>0</v>
      </c>
      <c r="J13" s="19">
        <v>0</v>
      </c>
      <c r="K13" s="70">
        <f>ROUND(B13*1.5*(D13+240)/1440,0)</f>
        <v>0</v>
      </c>
      <c r="L13" s="19">
        <v>0</v>
      </c>
      <c r="M13" s="19">
        <v>0</v>
      </c>
      <c r="N13" s="66">
        <f>ROUND((B13*12000)/(D13+240),0)</f>
        <v>0</v>
      </c>
      <c r="P13" s="10" t="s">
        <v>97</v>
      </c>
      <c r="Q13" s="11">
        <v>0</v>
      </c>
      <c r="S13" s="189" t="s">
        <v>128</v>
      </c>
      <c r="T13" s="186" t="str">
        <f>IF(Q37&gt;100,"Grassy Beer.","")</f>
        <v/>
      </c>
    </row>
    <row r="14" spans="1:20" ht="12.95" customHeight="1" x14ac:dyDescent="0.2">
      <c r="A14" s="44" t="s">
        <v>9</v>
      </c>
      <c r="B14" s="56"/>
      <c r="C14" s="36"/>
      <c r="D14" s="129">
        <f t="shared" si="0"/>
        <v>0</v>
      </c>
      <c r="E14" s="119">
        <f>B14</f>
        <v>0</v>
      </c>
      <c r="F14" s="16">
        <f>B14*5</f>
        <v>0</v>
      </c>
      <c r="G14" s="6">
        <f>ROUND(B14*(D14+240)/1440,0)</f>
        <v>0</v>
      </c>
      <c r="H14" s="6">
        <f>ROUND(B14*6*(D14+240)/1440,0)</f>
        <v>0</v>
      </c>
      <c r="I14" s="6">
        <f>ROUND(B14*12*(D14+240)/1440,0)</f>
        <v>0</v>
      </c>
      <c r="J14" s="16">
        <v>0</v>
      </c>
      <c r="K14" s="6">
        <f>ROUND(B14*12*(D14+240)/1440,0)</f>
        <v>0</v>
      </c>
      <c r="L14" s="16">
        <v>0</v>
      </c>
      <c r="M14" s="16">
        <v>0</v>
      </c>
      <c r="N14" s="65">
        <f>ROUND((B14*15600)/(D14+240),0)</f>
        <v>0</v>
      </c>
      <c r="P14" s="10"/>
      <c r="Q14" s="11"/>
      <c r="S14" s="189" t="s">
        <v>129</v>
      </c>
      <c r="T14" s="173" t="str">
        <f>IF(Q11+Q12/2&gt;Q16+Q17+Q25+Q26+Q33+Q36,"Cloying Beer.","")</f>
        <v>Cloying Beer.</v>
      </c>
    </row>
    <row r="15" spans="1:20" ht="12.95" customHeight="1" thickBot="1" x14ac:dyDescent="0.25">
      <c r="A15" s="41" t="s">
        <v>9</v>
      </c>
      <c r="B15" s="53"/>
      <c r="C15" s="33"/>
      <c r="D15" s="126">
        <f t="shared" si="0"/>
        <v>0</v>
      </c>
      <c r="E15" s="116">
        <f>B15</f>
        <v>0</v>
      </c>
      <c r="F15" s="17">
        <f>B15*5</f>
        <v>0</v>
      </c>
      <c r="G15" s="17">
        <f>ROUND(B15*(D15+240)/1440,0)</f>
        <v>0</v>
      </c>
      <c r="H15" s="17">
        <f>ROUND(B15*6*(D15+240)/1440,0)</f>
        <v>0</v>
      </c>
      <c r="I15" s="17">
        <f>ROUND(B15*12*(D15+240)/1440,0)</f>
        <v>0</v>
      </c>
      <c r="J15" s="17">
        <v>0</v>
      </c>
      <c r="K15" s="17">
        <f>ROUND(B15*12*(D15+240)/1440,0)</f>
        <v>0</v>
      </c>
      <c r="L15" s="17">
        <v>0</v>
      </c>
      <c r="M15" s="17">
        <v>0</v>
      </c>
      <c r="N15" s="28">
        <f>ROUND((B15*15600)/(D15+240),0)</f>
        <v>0</v>
      </c>
      <c r="P15" s="10" t="s">
        <v>98</v>
      </c>
      <c r="Q15" s="11">
        <v>0</v>
      </c>
      <c r="S15" s="189" t="s">
        <v>130</v>
      </c>
      <c r="T15" s="173" t="str">
        <f>IF(Q11*2+Q12&lt;Q36+(Q25+Q26+Q33)/5,"Bitter Beer.","")</f>
        <v/>
      </c>
    </row>
    <row r="16" spans="1:20" ht="12.95" customHeight="1" x14ac:dyDescent="0.2">
      <c r="A16" s="45" t="s">
        <v>50</v>
      </c>
      <c r="B16" s="57"/>
      <c r="C16" s="37"/>
      <c r="D16" s="130">
        <f t="shared" si="0"/>
        <v>0</v>
      </c>
      <c r="E16" s="120">
        <v>0</v>
      </c>
      <c r="F16" s="20">
        <f>B16</f>
        <v>0</v>
      </c>
      <c r="G16" s="20">
        <f>ROUND(B16*12*(D16+240)/1440,0)</f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114">
        <v>0</v>
      </c>
      <c r="P16" s="10" t="s">
        <v>99</v>
      </c>
      <c r="Q16" s="11">
        <f>Fermentation!I133+Fermentation!Y133</f>
        <v>0</v>
      </c>
      <c r="S16" s="189" t="s">
        <v>131</v>
      </c>
      <c r="T16" s="173" t="str">
        <f>IF(Q11*6+Q12*3&lt;Q25+Q26+Q33,"Caustic Beer.","")</f>
        <v/>
      </c>
    </row>
    <row r="17" spans="1:20" ht="12.95" customHeight="1" x14ac:dyDescent="0.2">
      <c r="A17" s="46" t="s">
        <v>50</v>
      </c>
      <c r="B17" s="55"/>
      <c r="C17" s="35"/>
      <c r="D17" s="131">
        <f t="shared" si="0"/>
        <v>0</v>
      </c>
      <c r="E17" s="121">
        <v>0</v>
      </c>
      <c r="F17" s="21">
        <f>B17</f>
        <v>0</v>
      </c>
      <c r="G17" s="21">
        <f>ROUND(B17*12*(D17+240)/1440,0)</f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113">
        <v>0</v>
      </c>
      <c r="P17" s="10" t="s">
        <v>100</v>
      </c>
      <c r="Q17" s="11">
        <f>Fermentation!I132+Fermentation!Y132</f>
        <v>0</v>
      </c>
      <c r="S17" s="171"/>
      <c r="T17" s="174"/>
    </row>
    <row r="18" spans="1:20" ht="12.95" customHeight="1" x14ac:dyDescent="0.2">
      <c r="A18" s="47" t="s">
        <v>51</v>
      </c>
      <c r="B18" s="56"/>
      <c r="C18" s="36"/>
      <c r="D18" s="129">
        <f t="shared" si="0"/>
        <v>0</v>
      </c>
      <c r="E18" s="119">
        <f t="shared" ref="E18:E23" si="4">B18*2.4</f>
        <v>0</v>
      </c>
      <c r="F18" s="16">
        <f t="shared" ref="F18:F23" si="5">B18*5</f>
        <v>0</v>
      </c>
      <c r="G18" s="16">
        <f>ROUND(B18*6*(D18+240)/1440,0)</f>
        <v>0</v>
      </c>
      <c r="H18" s="16">
        <f>ROUND(B18*1.5*(D18+240)/1440,0)</f>
        <v>0</v>
      </c>
      <c r="I18" s="16">
        <v>0</v>
      </c>
      <c r="J18" s="16">
        <f t="shared" ref="J18:J23" si="6">ROUND(B18*6*(D18+240)/1440,0)</f>
        <v>0</v>
      </c>
      <c r="K18" s="16">
        <v>0</v>
      </c>
      <c r="L18" s="16">
        <v>0</v>
      </c>
      <c r="M18" s="16">
        <v>0</v>
      </c>
      <c r="N18" s="30">
        <f>ROUND((B18*8400)/(D18+240),0)</f>
        <v>0</v>
      </c>
      <c r="P18" s="10"/>
      <c r="Q18" s="11"/>
      <c r="S18" s="168" t="s">
        <v>120</v>
      </c>
      <c r="T18" s="163" t="str">
        <f>IF(Q6&gt;=1200,"Very Potent ",IF(Q6&gt;=800,"Potent ",""))</f>
        <v xml:space="preserve">Potent </v>
      </c>
    </row>
    <row r="19" spans="1:20" ht="12.95" customHeight="1" x14ac:dyDescent="0.2">
      <c r="A19" s="48" t="s">
        <v>51</v>
      </c>
      <c r="B19" s="53"/>
      <c r="C19" s="33"/>
      <c r="D19" s="126">
        <f t="shared" si="0"/>
        <v>0</v>
      </c>
      <c r="E19" s="116">
        <f t="shared" si="4"/>
        <v>0</v>
      </c>
      <c r="F19" s="17">
        <f t="shared" si="5"/>
        <v>0</v>
      </c>
      <c r="G19" s="17">
        <f>ROUND(B19*6*(D19+240)/1440,0)</f>
        <v>0</v>
      </c>
      <c r="H19" s="17">
        <f>ROUND(B19*1.5*(D19+240)/1440,0)</f>
        <v>0</v>
      </c>
      <c r="I19" s="17">
        <v>0</v>
      </c>
      <c r="J19" s="17">
        <f t="shared" si="6"/>
        <v>0</v>
      </c>
      <c r="K19" s="17">
        <v>0</v>
      </c>
      <c r="L19" s="17">
        <v>0</v>
      </c>
      <c r="M19" s="17">
        <v>0</v>
      </c>
      <c r="N19" s="67">
        <f>ROUND((B19*8400)/(D19+240),0)</f>
        <v>0</v>
      </c>
      <c r="P19" s="10" t="s">
        <v>16</v>
      </c>
      <c r="Q19" s="11">
        <f>I28</f>
        <v>0</v>
      </c>
      <c r="S19" s="169" t="s">
        <v>121</v>
      </c>
      <c r="T19" s="164" t="str">
        <f>IF(Q25+Q26+Q33&gt;300,"Spicy ","")</f>
        <v/>
      </c>
    </row>
    <row r="20" spans="1:20" ht="12.95" customHeight="1" x14ac:dyDescent="0.2">
      <c r="A20" s="49" t="s">
        <v>52</v>
      </c>
      <c r="B20" s="54"/>
      <c r="C20" s="34"/>
      <c r="D20" s="132">
        <f t="shared" si="0"/>
        <v>0</v>
      </c>
      <c r="E20" s="122">
        <f t="shared" si="4"/>
        <v>0</v>
      </c>
      <c r="F20" s="22">
        <f t="shared" si="5"/>
        <v>0</v>
      </c>
      <c r="G20" s="22">
        <f>ROUND(B20*3*(D20+240)/1440,0)</f>
        <v>0</v>
      </c>
      <c r="H20" s="22">
        <f>ROUND(B20*2*(D20+240)/1440,0)</f>
        <v>0</v>
      </c>
      <c r="I20" s="22">
        <v>0</v>
      </c>
      <c r="J20" s="22">
        <f t="shared" si="6"/>
        <v>0</v>
      </c>
      <c r="K20" s="22">
        <v>0</v>
      </c>
      <c r="L20" s="22">
        <v>0</v>
      </c>
      <c r="M20" s="22">
        <v>0</v>
      </c>
      <c r="N20" s="109">
        <f>ROUND((B20*9600)/(D20+240),0)</f>
        <v>0</v>
      </c>
      <c r="P20" s="10" t="s">
        <v>18</v>
      </c>
      <c r="Q20" s="11">
        <f>Fermentation!I136+Fermentation!Y136</f>
        <v>0</v>
      </c>
      <c r="S20" s="169" t="s">
        <v>122</v>
      </c>
      <c r="T20" s="164" t="str">
        <f>IF(Q20+Q21+Q22+Q23+Q24+Q28+Q29+Q30+Q31&gt;500,"Fruity ","")</f>
        <v/>
      </c>
    </row>
    <row r="21" spans="1:20" ht="12.95" customHeight="1" x14ac:dyDescent="0.2">
      <c r="A21" s="46" t="s">
        <v>52</v>
      </c>
      <c r="B21" s="55"/>
      <c r="C21" s="35"/>
      <c r="D21" s="131">
        <f t="shared" si="0"/>
        <v>0</v>
      </c>
      <c r="E21" s="121">
        <f t="shared" si="4"/>
        <v>0</v>
      </c>
      <c r="F21" s="21">
        <f t="shared" si="5"/>
        <v>0</v>
      </c>
      <c r="G21" s="21">
        <f>ROUND(B21*3*(D21+240)/1440,0)</f>
        <v>0</v>
      </c>
      <c r="H21" s="21">
        <f>ROUND(B21*2*(D21+240)/1440,0)</f>
        <v>0</v>
      </c>
      <c r="I21" s="21">
        <v>0</v>
      </c>
      <c r="J21" s="21">
        <f t="shared" si="6"/>
        <v>0</v>
      </c>
      <c r="K21" s="21">
        <v>0</v>
      </c>
      <c r="L21" s="21">
        <v>0</v>
      </c>
      <c r="M21" s="21">
        <v>0</v>
      </c>
      <c r="N21" s="110">
        <f>ROUND((B21*9600)/(D21+240),0)</f>
        <v>0</v>
      </c>
      <c r="P21" s="10" t="s">
        <v>19</v>
      </c>
      <c r="Q21" s="11">
        <f>Fermentation!I137+Fermentation!Y137</f>
        <v>0</v>
      </c>
      <c r="S21" s="169" t="s">
        <v>101</v>
      </c>
      <c r="T21" s="164" t="str">
        <f>IF(Q42&gt;300,"Sweet ",IF(Q42&lt;150,"Dry ",""))</f>
        <v xml:space="preserve">Sweet </v>
      </c>
    </row>
    <row r="22" spans="1:20" ht="12.95" customHeight="1" x14ac:dyDescent="0.2">
      <c r="A22" s="47" t="s">
        <v>53</v>
      </c>
      <c r="B22" s="56"/>
      <c r="C22" s="36"/>
      <c r="D22" s="136">
        <f t="shared" si="0"/>
        <v>0</v>
      </c>
      <c r="E22" s="119">
        <f t="shared" si="4"/>
        <v>0</v>
      </c>
      <c r="F22" s="16">
        <f t="shared" si="5"/>
        <v>0</v>
      </c>
      <c r="G22" s="16">
        <f>ROUND(B22*1.5*(D22+240)/1440,0)</f>
        <v>0</v>
      </c>
      <c r="H22" s="16">
        <f>ROUND(B22*3*(D22+240)/1440,0)</f>
        <v>0</v>
      </c>
      <c r="I22" s="16">
        <v>0</v>
      </c>
      <c r="J22" s="16">
        <f t="shared" si="6"/>
        <v>0</v>
      </c>
      <c r="K22" s="16">
        <v>0</v>
      </c>
      <c r="L22" s="16">
        <f>ROUND(B22*1.5*(D22+240)/1440,0)</f>
        <v>0</v>
      </c>
      <c r="M22" s="16">
        <v>0</v>
      </c>
      <c r="N22" s="30">
        <f>ROUND((B22*10800)/(D22+240),0)</f>
        <v>0</v>
      </c>
      <c r="P22" s="10" t="s">
        <v>20</v>
      </c>
      <c r="Q22" s="11">
        <f>Fermentation!I138+Fermentation!Y138</f>
        <v>0</v>
      </c>
      <c r="S22" s="170" t="s">
        <v>13</v>
      </c>
      <c r="T22" s="165" t="str">
        <f>IF(Q7&gt;500,"Black ",IF(Q7&gt;200,"Brown ",""))</f>
        <v/>
      </c>
    </row>
    <row r="23" spans="1:20" ht="12.95" customHeight="1" x14ac:dyDescent="0.2">
      <c r="A23" s="48" t="s">
        <v>53</v>
      </c>
      <c r="B23" s="53"/>
      <c r="C23" s="33"/>
      <c r="D23" s="137">
        <f t="shared" si="0"/>
        <v>0</v>
      </c>
      <c r="E23" s="116">
        <f t="shared" si="4"/>
        <v>0</v>
      </c>
      <c r="F23" s="17">
        <f t="shared" si="5"/>
        <v>0</v>
      </c>
      <c r="G23" s="17">
        <f>ROUND(B23*1.5*(D23+240)/1440,0)</f>
        <v>0</v>
      </c>
      <c r="H23" s="17">
        <f>ROUND(B23*3*(D23+240)/1440,0)</f>
        <v>0</v>
      </c>
      <c r="I23" s="17">
        <v>0</v>
      </c>
      <c r="J23" s="17">
        <f t="shared" si="6"/>
        <v>0</v>
      </c>
      <c r="K23" s="17">
        <v>0</v>
      </c>
      <c r="L23" s="17">
        <f>ROUND(B23*1.5*(D23+240)/1440,0)</f>
        <v>0</v>
      </c>
      <c r="M23" s="17">
        <v>0</v>
      </c>
      <c r="N23" s="111">
        <f>ROUND((B23*10800)/(D23+240),0)</f>
        <v>0</v>
      </c>
      <c r="P23" s="10" t="s">
        <v>21</v>
      </c>
      <c r="Q23" s="11">
        <f>Fermentation!I139+Fermentation!Y139</f>
        <v>0</v>
      </c>
      <c r="S23" s="263" t="s">
        <v>94</v>
      </c>
      <c r="T23" s="163" t="str">
        <f>IF(Q19&lt;Q44/2,"",IF(Q19&gt;1000,"  Bold barley flavor.",IF(Q19&gt;400,"  Noticeable barley flavor.",IF(Q19&gt;200,"  Hint of barley flavor.",""))))</f>
        <v/>
      </c>
    </row>
    <row r="24" spans="1:20" ht="12.95" customHeight="1" x14ac:dyDescent="0.2">
      <c r="A24" s="49" t="s">
        <v>54</v>
      </c>
      <c r="B24" s="54"/>
      <c r="C24" s="34"/>
      <c r="D24" s="132">
        <f t="shared" si="0"/>
        <v>0</v>
      </c>
      <c r="E24" s="122">
        <f>B24*1.2</f>
        <v>0</v>
      </c>
      <c r="F24" s="22">
        <f>B24*2.5</f>
        <v>0</v>
      </c>
      <c r="G24" s="22">
        <f>ROUND(B24*(D24+240)/1440,0)</f>
        <v>0</v>
      </c>
      <c r="H24" s="22">
        <f>ROUND(B24*6*(D24+240)/1440,0)</f>
        <v>0</v>
      </c>
      <c r="I24" s="22">
        <v>0</v>
      </c>
      <c r="J24" s="22">
        <f>ROUND(B24*12*(D24+240)/1440,0)</f>
        <v>0</v>
      </c>
      <c r="K24" s="22">
        <v>0</v>
      </c>
      <c r="L24" s="22">
        <f>ROUND(B24*12*(D24+240)/1440,0)</f>
        <v>0</v>
      </c>
      <c r="M24" s="22">
        <v>0</v>
      </c>
      <c r="N24" s="112">
        <f>ROUND((B24*12000)/(D24+240),0)</f>
        <v>0</v>
      </c>
      <c r="P24" s="10" t="s">
        <v>26</v>
      </c>
      <c r="Q24" s="11">
        <f>M28+Fermentation!I140+Fermentation!Y140</f>
        <v>480</v>
      </c>
      <c r="S24" s="264"/>
      <c r="T24" s="164" t="str">
        <f>IF(Q20&lt;Q44/2,"",IF(Q20&gt;1000,"  Bold orange flavor.",IF(Q20&gt;400,"  Noticeable orange flavor.",IF(Q20&gt;200,"  Hint of orange flavor.",""))))</f>
        <v/>
      </c>
    </row>
    <row r="25" spans="1:20" ht="12.95" customHeight="1" thickBot="1" x14ac:dyDescent="0.25">
      <c r="A25" s="46" t="s">
        <v>54</v>
      </c>
      <c r="B25" s="55"/>
      <c r="C25" s="35"/>
      <c r="D25" s="131">
        <f t="shared" si="0"/>
        <v>0</v>
      </c>
      <c r="E25" s="121">
        <f>B25*1.2</f>
        <v>0</v>
      </c>
      <c r="F25" s="21">
        <f>B25*2.5</f>
        <v>0</v>
      </c>
      <c r="G25" s="21">
        <f>ROUND(B25*(D25+240)/1440,0)</f>
        <v>0</v>
      </c>
      <c r="H25" s="21">
        <f>ROUND(B25*6*(D25+240)/1440,0)</f>
        <v>0</v>
      </c>
      <c r="I25" s="21">
        <v>0</v>
      </c>
      <c r="J25" s="21">
        <f>ROUND(B25*12*(D25+240)/1440,0)</f>
        <v>0</v>
      </c>
      <c r="K25" s="21">
        <v>0</v>
      </c>
      <c r="L25" s="21">
        <f>ROUND(B25*12*(D25+240)/1440,0)</f>
        <v>0</v>
      </c>
      <c r="M25" s="21">
        <v>0</v>
      </c>
      <c r="N25" s="113">
        <f>ROUND((B25*12000)/(D25+240),0)</f>
        <v>0</v>
      </c>
      <c r="P25" s="10" t="s">
        <v>22</v>
      </c>
      <c r="Q25" s="11">
        <f>Fermentation!I141+Fermentation!Y141</f>
        <v>0</v>
      </c>
      <c r="S25" s="264"/>
      <c r="T25" s="164" t="str">
        <f>IF(Q21&lt;Q44/2,"",IF(Q21&gt;1000,"  Bold banana flavor.",IF(Q21&gt;400,"  Noticeable banana flavor.",IF(Q21&gt;200,"  Hint of banana flavor.",""))))</f>
        <v/>
      </c>
    </row>
    <row r="26" spans="1:20" ht="12.95" customHeight="1" x14ac:dyDescent="0.2">
      <c r="A26" s="50" t="s">
        <v>4</v>
      </c>
      <c r="B26" s="58">
        <v>120</v>
      </c>
      <c r="C26" s="38">
        <v>240</v>
      </c>
      <c r="D26" s="133">
        <f t="shared" si="0"/>
        <v>240</v>
      </c>
      <c r="E26" s="123">
        <f>B26*10</f>
        <v>1200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f>ROUND((B26*1200)/(D26+60),0)</f>
        <v>480</v>
      </c>
      <c r="N26" s="27">
        <f>ROUND((B26*1200)/(D26+240),0)</f>
        <v>300</v>
      </c>
      <c r="P26" s="10" t="s">
        <v>23</v>
      </c>
      <c r="Q26" s="11">
        <f>Fermentation!I142+Fermentation!Y142</f>
        <v>0</v>
      </c>
      <c r="S26" s="264"/>
      <c r="T26" s="164" t="str">
        <f>IF(Q22&lt;Q44/2,"",IF(Q22&gt;1000,"  Bold cherry flavor.",IF(Q22&gt;400,"  Noticeable cherry flavor.",IF(Q22&gt;200,"  Hint of cherry flavor.",""))))</f>
        <v/>
      </c>
    </row>
    <row r="27" spans="1:20" ht="12.95" customHeight="1" thickBot="1" x14ac:dyDescent="0.25">
      <c r="A27" s="51" t="s">
        <v>4</v>
      </c>
      <c r="B27" s="59"/>
      <c r="C27" s="39"/>
      <c r="D27" s="134">
        <f t="shared" si="0"/>
        <v>0</v>
      </c>
      <c r="E27" s="124">
        <f>B27*10</f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f>ROUND((B27*1200)/(D27+60),0)</f>
        <v>0</v>
      </c>
      <c r="N27" s="64">
        <f>ROUND((B27*1200)/(D27+240),0)</f>
        <v>0</v>
      </c>
      <c r="P27" s="10" t="s">
        <v>55</v>
      </c>
      <c r="Q27" s="11">
        <f>J28+Fermentation!I145+Fermentation!Y145</f>
        <v>0</v>
      </c>
      <c r="S27" s="264"/>
      <c r="T27" s="164" t="str">
        <f>IF(Q23&lt;Q44/2,"",IF(Q23&gt;1000,"  Bold date flavor.",IF(Q23&gt;400,"  Noticeable date flavor.",IF(Q23&gt;200,"  Hint of date flavor.",""))))</f>
        <v/>
      </c>
    </row>
    <row r="28" spans="1:20" ht="12.95" customHeight="1" thickBot="1" x14ac:dyDescent="0.25">
      <c r="B28" s="278" t="s">
        <v>29</v>
      </c>
      <c r="C28" s="279"/>
      <c r="D28" s="135"/>
      <c r="E28" s="60">
        <f t="shared" ref="E28:N28" si="7">ROUND(SUM(E6:E27),0)</f>
        <v>1200</v>
      </c>
      <c r="F28" s="24">
        <f t="shared" si="7"/>
        <v>0</v>
      </c>
      <c r="G28" s="24">
        <f t="shared" si="7"/>
        <v>0</v>
      </c>
      <c r="H28" s="24">
        <f t="shared" si="7"/>
        <v>0</v>
      </c>
      <c r="I28" s="24">
        <f t="shared" si="7"/>
        <v>0</v>
      </c>
      <c r="J28" s="24">
        <f t="shared" si="7"/>
        <v>0</v>
      </c>
      <c r="K28" s="24">
        <f t="shared" si="7"/>
        <v>0</v>
      </c>
      <c r="L28" s="24">
        <f t="shared" si="7"/>
        <v>0</v>
      </c>
      <c r="M28" s="24">
        <f t="shared" si="7"/>
        <v>480</v>
      </c>
      <c r="N28" s="25">
        <f t="shared" si="7"/>
        <v>300</v>
      </c>
      <c r="P28" s="10" t="s">
        <v>56</v>
      </c>
      <c r="Q28" s="11">
        <f>Fermentation!I146+Fermentation!Y146</f>
        <v>0</v>
      </c>
      <c r="S28" s="264"/>
      <c r="T28" s="164" t="str">
        <f>IF(Q24&lt;Q44/2,"",IF(Q24&gt;1000,"  Bold honey flavor.",IF(Q24&gt;400,"  Noticeable honey flavor.",IF(Q24&gt;200,"  Hint of honey flavor.",""))))</f>
        <v xml:space="preserve">  Noticeable honey flavor.</v>
      </c>
    </row>
    <row r="29" spans="1:20" ht="12.75" customHeight="1" x14ac:dyDescent="0.2">
      <c r="P29" s="10" t="s">
        <v>57</v>
      </c>
      <c r="Q29" s="11">
        <f>Fermentation!I147+Fermentation!Y147</f>
        <v>0</v>
      </c>
      <c r="S29" s="264"/>
      <c r="T29" s="164" t="str">
        <f>IF(Q25&lt;Q44/2,"",IF(Q25&gt;1000,"  Bold nutmeg flavor.",IF(Q25&gt;400,"  Noticeable nutmeg flavor.",IF(Q25&gt;200,"  Hint of nutmeg flavor.",""))))</f>
        <v/>
      </c>
    </row>
    <row r="30" spans="1:20" ht="12.75" customHeight="1" x14ac:dyDescent="0.2">
      <c r="P30" s="10" t="s">
        <v>58</v>
      </c>
      <c r="Q30" s="11">
        <f>Fermentation!I148+Fermentation!Y148</f>
        <v>0</v>
      </c>
      <c r="S30" s="264"/>
      <c r="T30" s="164" t="str">
        <f>IF(Q26&lt;Q44/2,"",IF(Q26&gt;1000,"  Bold cinnamon flavor.",IF(Q26&gt;400,"  Noticeable cinnamon flavor.",IF(Q26&gt;200,"  Hint of cinnamon flavor.",""))))</f>
        <v/>
      </c>
    </row>
    <row r="31" spans="1:20" ht="12.75" customHeight="1" x14ac:dyDescent="0.2">
      <c r="G31" s="61"/>
      <c r="H31" s="61"/>
      <c r="I31" s="61"/>
      <c r="J31" s="61"/>
      <c r="K31" s="61"/>
      <c r="L31" s="61"/>
      <c r="M31" s="61"/>
      <c r="N31" s="61"/>
      <c r="P31" s="10" t="s">
        <v>59</v>
      </c>
      <c r="Q31" s="11">
        <f>Fermentation!I149+Fermentation!Y149</f>
        <v>0</v>
      </c>
      <c r="S31" s="264"/>
      <c r="T31" s="164" t="str">
        <f>IF(Q27&lt;Q44/2,"",IF(Q27&gt;1000,"  Bold bread flavor.",IF(Q27&gt;400,"  Noticeable bread flavor.",IF(Q27&gt;200,"  Hint of bread flavor.",""))))</f>
        <v/>
      </c>
    </row>
    <row r="32" spans="1:20" ht="12.75" customHeight="1" x14ac:dyDescent="0.2">
      <c r="A32" s="3"/>
      <c r="C32" s="105"/>
      <c r="G32" s="61"/>
      <c r="H32" s="249"/>
      <c r="I32" s="249"/>
      <c r="J32" s="249"/>
      <c r="K32" s="249"/>
      <c r="L32" s="249"/>
      <c r="M32" s="249"/>
      <c r="N32" s="249"/>
      <c r="P32" s="10" t="s">
        <v>60</v>
      </c>
      <c r="Q32" s="11">
        <f>Fermentation!I150+Fermentation!Y150</f>
        <v>0</v>
      </c>
      <c r="S32" s="264"/>
      <c r="T32" s="164" t="str">
        <f>IF(Q28&lt;Q44/2,"",IF(Q28&gt;1000,"  Bold grapefruit flavor.",IF(Q28&gt;400,"  Noticeable grapefruit flavor.",IF(Q28&gt;200,"  Hint of grapefruit flavor.",""))))</f>
        <v/>
      </c>
    </row>
    <row r="33" spans="1:20" ht="12.75" customHeight="1" x14ac:dyDescent="0.2">
      <c r="A33" s="2" t="s">
        <v>66</v>
      </c>
      <c r="B33" s="2">
        <f>SUM(B6:B15)</f>
        <v>0</v>
      </c>
      <c r="C33" s="13">
        <f>IF((B33+B34)=0,0,B33/(B33+B34))</f>
        <v>0</v>
      </c>
      <c r="D33" s="62"/>
      <c r="G33" s="61"/>
      <c r="H33" s="249"/>
      <c r="I33" s="249"/>
      <c r="J33" s="249"/>
      <c r="K33" s="249"/>
      <c r="L33" s="249"/>
      <c r="M33" s="249"/>
      <c r="N33" s="249"/>
      <c r="P33" s="10" t="s">
        <v>61</v>
      </c>
      <c r="Q33" s="11">
        <f>Fermentation!I151+Fermentation!Y151</f>
        <v>0</v>
      </c>
      <c r="S33" s="264"/>
      <c r="T33" s="164" t="str">
        <f>IF(Q29&lt;Q44/2,"",IF(Q29&gt;1000,"  Bold pear flavor.",IF(Q29&gt;400,"  Noticeable pear flavor.",IF(Q29&gt;200,"  Hint of pear flavor.",""))))</f>
        <v/>
      </c>
    </row>
    <row r="34" spans="1:20" ht="12.75" customHeight="1" x14ac:dyDescent="0.2">
      <c r="A34" s="2" t="s">
        <v>67</v>
      </c>
      <c r="B34" s="2">
        <f>SUM(B16:B25)</f>
        <v>0</v>
      </c>
      <c r="C34" s="13">
        <f>IF((B33+B34)=0,0,B34/(B33+B34))</f>
        <v>0</v>
      </c>
      <c r="D34" s="62"/>
      <c r="G34" s="61"/>
      <c r="H34" s="250"/>
      <c r="I34" s="250"/>
      <c r="J34" s="250"/>
      <c r="K34" s="250"/>
      <c r="L34" s="250"/>
      <c r="M34" s="250"/>
      <c r="N34" s="251"/>
      <c r="P34" s="10" t="s">
        <v>62</v>
      </c>
      <c r="Q34" s="11">
        <f>Fermentation!I152+Fermentation!Y152</f>
        <v>0</v>
      </c>
      <c r="S34" s="264"/>
      <c r="T34" s="164" t="str">
        <f>IF(Q30&lt;Q44/2,"",IF(Q30&gt;1000,"  Bold blackberry flavor.",IF(Q30&gt;400,"  Noticeable blackberry flavor.",IF(Q30&gt;200,"  Hint of blackberry flavor.",""))))</f>
        <v/>
      </c>
    </row>
    <row r="35" spans="1:20" ht="12.75" customHeight="1" x14ac:dyDescent="0.2">
      <c r="D35" s="62"/>
      <c r="G35" s="61"/>
      <c r="H35" s="250"/>
      <c r="I35" s="250"/>
      <c r="J35" s="250"/>
      <c r="K35" s="250"/>
      <c r="L35" s="250"/>
      <c r="M35" s="250"/>
      <c r="N35" s="250"/>
      <c r="P35" s="14"/>
      <c r="Q35" s="15"/>
      <c r="S35" s="264"/>
      <c r="T35" s="164" t="str">
        <f>IF(Q31&lt;Q44/2,"",IF(Q31&gt;1000,"  Bold prune flavor.",IF(Q31&gt;400,"  Noticeable prune flavor.",IF(Q31&gt;200,"  Hint of prune flavor.",""))))</f>
        <v/>
      </c>
    </row>
    <row r="36" spans="1:20" ht="13.5" customHeight="1" x14ac:dyDescent="0.2">
      <c r="A36" s="3"/>
      <c r="C36" s="105"/>
      <c r="D36" s="61"/>
      <c r="E36" s="61"/>
      <c r="F36" s="61"/>
      <c r="G36" s="61"/>
      <c r="H36" s="250"/>
      <c r="I36" s="106"/>
      <c r="J36" s="106"/>
      <c r="K36" s="106"/>
      <c r="L36" s="106"/>
      <c r="M36" s="250"/>
      <c r="N36" s="250"/>
      <c r="P36" s="10" t="s">
        <v>17</v>
      </c>
      <c r="Q36" s="11">
        <f>H28</f>
        <v>0</v>
      </c>
      <c r="S36" s="264"/>
      <c r="T36" s="164" t="str">
        <f>IF(Q32&lt;Q44/2,"",IF(Q32&gt;1000,"  Bold jasmine flavor.",IF(Q32&gt;400,"  Noticeable jasmine flavor.",IF(Q32&gt;200,"  Hint of jasmine flavor.",""))))</f>
        <v/>
      </c>
    </row>
    <row r="37" spans="1:20" ht="13.5" customHeight="1" x14ac:dyDescent="0.2">
      <c r="D37" s="61"/>
      <c r="E37" s="61"/>
      <c r="F37" s="61"/>
      <c r="G37" s="61"/>
      <c r="H37" s="106"/>
      <c r="I37" s="106"/>
      <c r="J37" s="106"/>
      <c r="K37" s="106"/>
      <c r="L37" s="106"/>
      <c r="M37" s="106"/>
      <c r="N37" s="106"/>
      <c r="P37" s="10" t="s">
        <v>24</v>
      </c>
      <c r="Q37" s="11">
        <f>K28+Fermentation!I143+Fermentation!Y143</f>
        <v>0</v>
      </c>
      <c r="S37" s="264"/>
      <c r="T37" s="164" t="str">
        <f>IF(Q33&lt;Q44/2,"",IF(Q33&gt;1000,"  Bold clove flavor.",IF(Q33&gt;400,"  Noticeable clove flavor.",IF(Q33&gt;200,"  Hint of clove flavor.",""))))</f>
        <v/>
      </c>
    </row>
    <row r="38" spans="1:20" ht="12.75" customHeight="1" x14ac:dyDescent="0.2">
      <c r="D38" s="61"/>
      <c r="E38" s="254"/>
      <c r="F38" s="254"/>
      <c r="G38" s="61"/>
      <c r="H38" s="106"/>
      <c r="I38" s="106"/>
      <c r="J38" s="106"/>
      <c r="K38" s="107"/>
      <c r="L38" s="106"/>
      <c r="M38" s="106"/>
      <c r="N38" s="106"/>
      <c r="P38" s="10" t="s">
        <v>63</v>
      </c>
      <c r="Q38" s="11">
        <f>L28+Fermentation!I153+Fermentation!Y153</f>
        <v>0</v>
      </c>
      <c r="S38" s="265"/>
      <c r="T38" s="165" t="str">
        <f>IF(Q34&lt;Q44/2,"",IF(Q34&gt;1000,"  Bold vanilla flavor.",IF(Q34&gt;400,"  Noticeable vanilla flavor.",IF(Q34&gt;200,"  Hint of vanilla flavor.",""))))</f>
        <v/>
      </c>
    </row>
    <row r="39" spans="1:20" ht="12.75" customHeight="1" x14ac:dyDescent="0.2">
      <c r="D39" s="252"/>
      <c r="E39" s="254"/>
      <c r="F39" s="254"/>
      <c r="G39" s="61"/>
      <c r="H39" s="106"/>
      <c r="I39" s="106"/>
      <c r="J39" s="106"/>
      <c r="K39" s="107"/>
      <c r="L39" s="106"/>
      <c r="M39" s="106"/>
      <c r="N39" s="106"/>
      <c r="P39" s="10" t="s">
        <v>25</v>
      </c>
      <c r="Q39" s="11">
        <f>Fermentation!I144+Fermentation!Y144</f>
        <v>0</v>
      </c>
      <c r="S39" s="166"/>
      <c r="T39" s="167"/>
    </row>
    <row r="40" spans="1:20" ht="12.75" customHeight="1" x14ac:dyDescent="0.2">
      <c r="A40" s="255" t="s">
        <v>72</v>
      </c>
      <c r="B40" s="256" t="s">
        <v>210</v>
      </c>
      <c r="C40" s="255"/>
      <c r="D40" s="255" t="s">
        <v>211</v>
      </c>
      <c r="E40" s="61"/>
      <c r="F40" s="246"/>
      <c r="G40" s="61"/>
      <c r="H40" s="106"/>
      <c r="I40" s="106"/>
      <c r="J40" s="106"/>
      <c r="K40" s="107"/>
      <c r="L40" s="106"/>
      <c r="M40" s="106"/>
      <c r="N40" s="106"/>
      <c r="P40" s="185"/>
      <c r="Q40" s="185"/>
      <c r="S40" s="166"/>
      <c r="T40" s="167"/>
    </row>
    <row r="41" spans="1:20" x14ac:dyDescent="0.2">
      <c r="D41" s="252"/>
      <c r="E41" s="61"/>
      <c r="F41" s="246"/>
      <c r="G41" s="61"/>
      <c r="H41" s="106"/>
      <c r="I41" s="106"/>
      <c r="J41" s="106"/>
      <c r="K41" s="107"/>
      <c r="L41" s="106"/>
      <c r="M41" s="106"/>
      <c r="N41" s="106"/>
      <c r="P41" s="61"/>
      <c r="Q41" s="61"/>
    </row>
    <row r="42" spans="1:20" x14ac:dyDescent="0.2">
      <c r="A42" s="2" t="str">
        <f>Fermentation!G7</f>
        <v>Yeast-82</v>
      </c>
      <c r="B42" s="2">
        <f>Fermentation!I134</f>
        <v>1008</v>
      </c>
      <c r="D42" s="2" t="str">
        <f>IF(Fermentation!G112="Yes","Alcohol threshold reached",IF(Fermentation!H112="Yes","Vitamin threshold reached","Lack of sugar"))</f>
        <v>Alcohol threshold reached</v>
      </c>
      <c r="E42" s="253"/>
      <c r="F42" s="246"/>
      <c r="G42" s="61"/>
      <c r="H42" s="106"/>
      <c r="I42" s="106"/>
      <c r="J42" s="106"/>
      <c r="K42" s="107"/>
      <c r="L42" s="106"/>
      <c r="M42" s="106"/>
      <c r="N42" s="106"/>
      <c r="P42" s="61" t="s">
        <v>101</v>
      </c>
      <c r="Q42" s="2">
        <f>(2*Q11)+Q12</f>
        <v>384</v>
      </c>
    </row>
    <row r="43" spans="1:20" x14ac:dyDescent="0.2">
      <c r="A43" s="2" t="str">
        <f>Fermentation!W7</f>
        <v>(none)</v>
      </c>
      <c r="B43" s="2">
        <f>Fermentation!Y134</f>
        <v>0</v>
      </c>
      <c r="D43" s="2" t="str">
        <f>IF(Fermentation!W112="Yes","Alcohol threshold reached",IF(Fermentation!X112="Yes","Vitamin threshold reached","Lack of sugar"))</f>
        <v>Alcohol threshold reached</v>
      </c>
      <c r="E43" s="61"/>
      <c r="F43" s="246"/>
      <c r="G43" s="61"/>
      <c r="H43" s="106"/>
      <c r="I43" s="106"/>
      <c r="J43" s="106"/>
      <c r="K43" s="107"/>
      <c r="L43" s="106"/>
      <c r="M43" s="106"/>
      <c r="N43" s="106"/>
      <c r="P43" s="61"/>
      <c r="Q43" s="61"/>
    </row>
    <row r="44" spans="1:20" x14ac:dyDescent="0.2">
      <c r="D44" s="62"/>
      <c r="G44" s="61"/>
      <c r="H44" s="106"/>
      <c r="I44" s="106"/>
      <c r="J44" s="106"/>
      <c r="K44" s="107"/>
      <c r="L44" s="106"/>
      <c r="M44" s="106"/>
      <c r="N44" s="106"/>
      <c r="P44" s="61" t="s">
        <v>119</v>
      </c>
      <c r="Q44" s="61">
        <f>MAX(Q19:Q34)</f>
        <v>480</v>
      </c>
    </row>
    <row r="45" spans="1:20" x14ac:dyDescent="0.2">
      <c r="G45" s="61"/>
      <c r="H45" s="106"/>
      <c r="I45" s="106"/>
      <c r="J45" s="106"/>
      <c r="K45" s="107"/>
      <c r="L45" s="106"/>
      <c r="M45" s="106"/>
      <c r="N45" s="106"/>
      <c r="P45" s="61"/>
      <c r="Q45" s="61"/>
    </row>
    <row r="46" spans="1:20" x14ac:dyDescent="0.2">
      <c r="G46" s="61"/>
      <c r="H46" s="106"/>
      <c r="I46" s="106"/>
      <c r="J46" s="106"/>
      <c r="K46" s="107"/>
      <c r="L46" s="106"/>
      <c r="M46" s="106"/>
      <c r="N46" s="106"/>
    </row>
    <row r="47" spans="1:20" x14ac:dyDescent="0.2">
      <c r="G47" s="61"/>
      <c r="H47" s="106"/>
      <c r="I47" s="106"/>
      <c r="J47" s="106"/>
      <c r="K47" s="107"/>
      <c r="L47" s="106"/>
      <c r="M47" s="106"/>
      <c r="N47" s="106"/>
      <c r="P47" s="61"/>
      <c r="Q47" s="61"/>
    </row>
    <row r="48" spans="1:20" x14ac:dyDescent="0.2">
      <c r="D48" s="62"/>
      <c r="G48" s="61"/>
      <c r="H48" s="106"/>
      <c r="I48" s="106"/>
      <c r="J48" s="106"/>
      <c r="K48" s="107"/>
      <c r="L48" s="106"/>
      <c r="M48" s="106"/>
      <c r="N48" s="106"/>
      <c r="P48" s="61"/>
      <c r="Q48" s="61"/>
    </row>
    <row r="49" spans="2:17" x14ac:dyDescent="0.2">
      <c r="D49" s="62"/>
      <c r="G49" s="61"/>
      <c r="H49" s="106"/>
      <c r="I49" s="106"/>
      <c r="J49" s="106"/>
      <c r="K49" s="107"/>
      <c r="L49" s="106"/>
      <c r="M49" s="106"/>
      <c r="N49" s="106"/>
      <c r="P49" s="61"/>
      <c r="Q49" s="61"/>
    </row>
    <row r="50" spans="2:17" x14ac:dyDescent="0.2">
      <c r="D50" s="62"/>
      <c r="G50" s="61"/>
      <c r="H50" s="106"/>
      <c r="I50" s="106"/>
      <c r="J50" s="106"/>
      <c r="K50" s="107"/>
      <c r="L50" s="106"/>
      <c r="M50" s="106"/>
      <c r="N50" s="106"/>
      <c r="P50" s="61"/>
      <c r="Q50" s="61"/>
    </row>
    <row r="51" spans="2:17" x14ac:dyDescent="0.2">
      <c r="D51" s="62"/>
      <c r="G51" s="61"/>
      <c r="H51" s="106"/>
      <c r="I51" s="106"/>
      <c r="J51" s="106"/>
      <c r="K51" s="107"/>
      <c r="L51" s="106"/>
      <c r="M51" s="106"/>
      <c r="N51" s="106"/>
      <c r="P51" s="61"/>
      <c r="Q51" s="61"/>
    </row>
    <row r="52" spans="2:17" x14ac:dyDescent="0.2">
      <c r="C52" s="105"/>
      <c r="D52" s="62"/>
      <c r="G52" s="61"/>
      <c r="H52" s="106"/>
      <c r="I52" s="106"/>
      <c r="J52" s="106"/>
      <c r="K52" s="107"/>
      <c r="L52" s="106"/>
      <c r="M52" s="106"/>
      <c r="N52" s="106"/>
      <c r="P52" s="61"/>
      <c r="Q52" s="61"/>
    </row>
    <row r="53" spans="2:17" x14ac:dyDescent="0.2">
      <c r="D53" s="62"/>
      <c r="G53" s="61"/>
      <c r="H53" s="106"/>
      <c r="I53" s="106"/>
      <c r="J53" s="106"/>
      <c r="K53" s="107"/>
      <c r="L53" s="106"/>
      <c r="M53" s="106"/>
      <c r="N53" s="106"/>
      <c r="P53" s="61"/>
      <c r="Q53" s="61"/>
    </row>
    <row r="54" spans="2:17" x14ac:dyDescent="0.2">
      <c r="D54" s="62"/>
      <c r="G54" s="61"/>
      <c r="H54" s="106"/>
      <c r="I54" s="106"/>
      <c r="J54" s="106"/>
      <c r="K54" s="107"/>
      <c r="L54" s="106"/>
      <c r="M54" s="106"/>
      <c r="N54" s="106"/>
      <c r="P54" s="61"/>
      <c r="Q54" s="61"/>
    </row>
    <row r="55" spans="2:17" x14ac:dyDescent="0.2">
      <c r="G55" s="61"/>
      <c r="H55" s="106"/>
      <c r="I55" s="106"/>
      <c r="J55" s="106"/>
      <c r="K55" s="107"/>
      <c r="L55" s="106"/>
      <c r="M55" s="106"/>
      <c r="N55" s="106"/>
    </row>
    <row r="56" spans="2:17" x14ac:dyDescent="0.2">
      <c r="G56" s="61"/>
      <c r="H56" s="106"/>
      <c r="I56" s="106"/>
      <c r="J56" s="106"/>
      <c r="K56" s="107"/>
      <c r="L56" s="106"/>
      <c r="M56" s="106"/>
      <c r="N56" s="106"/>
    </row>
    <row r="57" spans="2:17" x14ac:dyDescent="0.2">
      <c r="G57" s="61"/>
      <c r="H57" s="106"/>
      <c r="I57" s="106"/>
      <c r="J57" s="106"/>
      <c r="K57" s="107"/>
      <c r="L57" s="106"/>
      <c r="M57" s="106"/>
      <c r="N57" s="106"/>
    </row>
    <row r="58" spans="2:17" x14ac:dyDescent="0.2">
      <c r="G58" s="61"/>
      <c r="H58" s="106"/>
      <c r="I58" s="106"/>
      <c r="J58" s="106"/>
      <c r="K58" s="107"/>
      <c r="L58" s="106"/>
      <c r="M58" s="106"/>
      <c r="N58" s="106"/>
    </row>
    <row r="59" spans="2:17" x14ac:dyDescent="0.2">
      <c r="B59" s="104"/>
      <c r="G59" s="61"/>
      <c r="H59" s="106"/>
      <c r="I59" s="106"/>
      <c r="J59" s="106"/>
      <c r="K59" s="107"/>
      <c r="L59" s="106"/>
      <c r="M59" s="106"/>
      <c r="N59" s="106"/>
    </row>
    <row r="60" spans="2:17" x14ac:dyDescent="0.2">
      <c r="B60" s="104"/>
      <c r="G60" s="61"/>
      <c r="H60" s="106"/>
      <c r="I60" s="106"/>
      <c r="J60" s="106"/>
      <c r="K60" s="107"/>
      <c r="L60" s="106"/>
      <c r="M60" s="106"/>
      <c r="N60" s="106"/>
    </row>
    <row r="61" spans="2:17" x14ac:dyDescent="0.2">
      <c r="B61" s="104"/>
      <c r="G61" s="61"/>
      <c r="H61" s="106"/>
      <c r="I61" s="106"/>
      <c r="J61" s="106"/>
      <c r="K61" s="107"/>
      <c r="L61" s="106"/>
      <c r="M61" s="106"/>
      <c r="N61" s="106"/>
    </row>
    <row r="62" spans="2:17" x14ac:dyDescent="0.2">
      <c r="B62" s="104"/>
      <c r="G62" s="61"/>
      <c r="H62" s="106"/>
      <c r="I62" s="106"/>
      <c r="J62" s="106"/>
      <c r="K62" s="107"/>
      <c r="L62" s="106"/>
      <c r="M62" s="106"/>
      <c r="N62" s="106"/>
    </row>
    <row r="63" spans="2:17" x14ac:dyDescent="0.2">
      <c r="B63" s="104"/>
      <c r="G63" s="61"/>
      <c r="H63" s="106"/>
      <c r="I63" s="106"/>
      <c r="J63" s="106"/>
      <c r="K63" s="107"/>
      <c r="L63" s="106"/>
      <c r="M63" s="106"/>
      <c r="N63" s="106"/>
    </row>
    <row r="64" spans="2:17" x14ac:dyDescent="0.2">
      <c r="B64" s="104"/>
      <c r="G64" s="61"/>
      <c r="H64" s="106"/>
      <c r="I64" s="106"/>
      <c r="J64" s="106"/>
      <c r="K64" s="107"/>
      <c r="L64" s="106"/>
      <c r="M64" s="106"/>
      <c r="N64" s="106"/>
    </row>
    <row r="65" spans="2:14" x14ac:dyDescent="0.2">
      <c r="B65" s="104"/>
      <c r="G65" s="61"/>
      <c r="H65" s="106"/>
      <c r="I65" s="106"/>
      <c r="J65" s="106"/>
      <c r="K65" s="107"/>
      <c r="L65" s="106"/>
      <c r="M65" s="106"/>
      <c r="N65" s="106"/>
    </row>
    <row r="66" spans="2:14" x14ac:dyDescent="0.2">
      <c r="B66" s="104"/>
      <c r="G66" s="61"/>
      <c r="H66" s="106"/>
      <c r="I66" s="106"/>
      <c r="J66" s="106"/>
      <c r="K66" s="107"/>
      <c r="L66" s="106"/>
      <c r="M66" s="106"/>
      <c r="N66" s="106"/>
    </row>
    <row r="67" spans="2:14" x14ac:dyDescent="0.2">
      <c r="B67" s="104"/>
      <c r="G67" s="61"/>
      <c r="H67" s="106"/>
      <c r="I67" s="106"/>
      <c r="J67" s="106"/>
      <c r="K67" s="107"/>
      <c r="L67" s="106"/>
      <c r="M67" s="106"/>
      <c r="N67" s="106"/>
    </row>
    <row r="68" spans="2:14" x14ac:dyDescent="0.2">
      <c r="B68" s="104"/>
      <c r="G68" s="61"/>
      <c r="H68" s="61"/>
      <c r="I68" s="61"/>
      <c r="J68" s="106"/>
      <c r="K68" s="108"/>
      <c r="L68" s="107"/>
      <c r="M68" s="61"/>
      <c r="N68" s="107"/>
    </row>
    <row r="69" spans="2:14" x14ac:dyDescent="0.2">
      <c r="B69" s="104"/>
      <c r="G69" s="61"/>
      <c r="H69" s="61"/>
      <c r="I69" s="61"/>
      <c r="J69" s="247"/>
      <c r="K69" s="108"/>
      <c r="L69" s="107"/>
      <c r="M69" s="61"/>
      <c r="N69" s="107"/>
    </row>
    <row r="70" spans="2:14" x14ac:dyDescent="0.2">
      <c r="B70" s="104"/>
      <c r="G70" s="61"/>
      <c r="H70" s="61"/>
      <c r="I70" s="61"/>
      <c r="J70" s="248"/>
      <c r="K70" s="108"/>
      <c r="L70" s="107"/>
      <c r="M70" s="61"/>
      <c r="N70" s="107"/>
    </row>
    <row r="71" spans="2:14" x14ac:dyDescent="0.2">
      <c r="B71" s="104"/>
    </row>
    <row r="72" spans="2:14" x14ac:dyDescent="0.2">
      <c r="B72" s="104"/>
    </row>
    <row r="73" spans="2:14" x14ac:dyDescent="0.2">
      <c r="B73" s="104"/>
    </row>
    <row r="74" spans="2:14" x14ac:dyDescent="0.2">
      <c r="B74" s="104"/>
    </row>
    <row r="75" spans="2:14" x14ac:dyDescent="0.2">
      <c r="B75" s="104"/>
    </row>
    <row r="76" spans="2:14" x14ac:dyDescent="0.2">
      <c r="B76" s="104"/>
    </row>
  </sheetData>
  <mergeCells count="8">
    <mergeCell ref="S23:S38"/>
    <mergeCell ref="B28:C28"/>
    <mergeCell ref="B2:C2"/>
    <mergeCell ref="H1:Q3"/>
    <mergeCell ref="B3:C3"/>
    <mergeCell ref="B4:C4"/>
    <mergeCell ref="S6:T7"/>
    <mergeCell ref="B1:C1"/>
  </mergeCells>
  <pageMargins left="0.7" right="0.7" top="0.75" bottom="0.75" header="0.3" footer="0.3"/>
  <pageSetup orientation="portrait" horizontalDpi="4294967293" verticalDpi="4294967293" r:id="rId1"/>
  <ignoredErrors>
    <ignoredError sqref="B34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'Microbe Data'!$A$4:$A$62</xm:f>
          </x14:formula1>
          <xm:sqref>B2:C2 B3:C3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I154"/>
  <sheetViews>
    <sheetView workbookViewId="0"/>
  </sheetViews>
  <sheetFormatPr defaultRowHeight="12.75" x14ac:dyDescent="0.2"/>
  <cols>
    <col min="4" max="6" width="11.7109375" customWidth="1"/>
    <col min="7" max="7" width="10.140625" customWidth="1"/>
    <col min="8" max="8" width="11.7109375" customWidth="1"/>
    <col min="9" max="9" width="14.7109375" customWidth="1"/>
    <col min="10" max="10" width="9.140625" customWidth="1"/>
    <col min="11" max="13" width="9" customWidth="1"/>
    <col min="14" max="22" width="10.28515625" customWidth="1"/>
    <col min="23" max="23" width="10.140625" customWidth="1"/>
    <col min="24" max="25" width="11.7109375" customWidth="1"/>
    <col min="27" max="27" width="9.140625" customWidth="1"/>
    <col min="28" max="29" width="9" customWidth="1"/>
    <col min="30" max="34" width="10.28515625" customWidth="1"/>
  </cols>
  <sheetData>
    <row r="5" spans="1:35" x14ac:dyDescent="0.2">
      <c r="A5" s="289" t="s">
        <v>108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1"/>
    </row>
    <row r="6" spans="1:35" x14ac:dyDescent="0.2">
      <c r="A6" s="292"/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4"/>
    </row>
    <row r="7" spans="1:35" x14ac:dyDescent="0.2">
      <c r="A7" s="281" t="s">
        <v>208</v>
      </c>
      <c r="B7" s="282"/>
      <c r="C7" s="304" t="s">
        <v>191</v>
      </c>
      <c r="D7" s="305"/>
      <c r="E7" s="305"/>
      <c r="F7" s="306"/>
      <c r="G7" s="310" t="str">
        <f>'Data Entry'!B2</f>
        <v>Yeast-82</v>
      </c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2"/>
      <c r="S7" s="304" t="s">
        <v>191</v>
      </c>
      <c r="T7" s="305"/>
      <c r="U7" s="305"/>
      <c r="V7" s="306"/>
      <c r="W7" s="325" t="str">
        <f>'Data Entry'!B3</f>
        <v>(none)</v>
      </c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7"/>
    </row>
    <row r="8" spans="1:35" x14ac:dyDescent="0.2">
      <c r="A8" s="283"/>
      <c r="B8" s="284"/>
      <c r="C8" s="307"/>
      <c r="D8" s="308"/>
      <c r="E8" s="308"/>
      <c r="F8" s="309"/>
      <c r="G8" s="313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5"/>
      <c r="S8" s="307"/>
      <c r="T8" s="308"/>
      <c r="U8" s="308"/>
      <c r="V8" s="309"/>
      <c r="W8" s="328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30"/>
    </row>
    <row r="9" spans="1:35" ht="12.75" customHeight="1" x14ac:dyDescent="0.2">
      <c r="A9" s="283"/>
      <c r="B9" s="284"/>
      <c r="C9" s="298" t="s">
        <v>200</v>
      </c>
      <c r="D9" s="298" t="s">
        <v>5</v>
      </c>
      <c r="E9" s="298" t="s">
        <v>6</v>
      </c>
      <c r="F9" s="298" t="s">
        <v>69</v>
      </c>
      <c r="G9" s="317" t="s">
        <v>205</v>
      </c>
      <c r="H9" s="319" t="s">
        <v>184</v>
      </c>
      <c r="I9" s="301" t="s">
        <v>188</v>
      </c>
      <c r="J9" s="319" t="s">
        <v>189</v>
      </c>
      <c r="K9" s="319" t="s">
        <v>190</v>
      </c>
      <c r="L9" s="295" t="s">
        <v>185</v>
      </c>
      <c r="M9" s="295" t="s">
        <v>186</v>
      </c>
      <c r="N9" s="295" t="s">
        <v>187</v>
      </c>
      <c r="O9" s="316" t="s">
        <v>196</v>
      </c>
      <c r="P9" s="316" t="s">
        <v>197</v>
      </c>
      <c r="Q9" s="316" t="s">
        <v>198</v>
      </c>
      <c r="R9" s="316" t="s">
        <v>199</v>
      </c>
      <c r="S9" s="298" t="s">
        <v>200</v>
      </c>
      <c r="T9" s="298" t="s">
        <v>5</v>
      </c>
      <c r="U9" s="298" t="s">
        <v>6</v>
      </c>
      <c r="V9" s="298" t="s">
        <v>69</v>
      </c>
      <c r="W9" s="323" t="s">
        <v>205</v>
      </c>
      <c r="X9" s="331" t="s">
        <v>184</v>
      </c>
      <c r="Y9" s="323" t="s">
        <v>188</v>
      </c>
      <c r="Z9" s="331" t="s">
        <v>189</v>
      </c>
      <c r="AA9" s="331" t="s">
        <v>190</v>
      </c>
      <c r="AB9" s="334" t="s">
        <v>185</v>
      </c>
      <c r="AC9" s="334" t="s">
        <v>186</v>
      </c>
      <c r="AD9" s="323" t="s">
        <v>187</v>
      </c>
      <c r="AE9" s="322" t="s">
        <v>196</v>
      </c>
      <c r="AF9" s="322" t="s">
        <v>197</v>
      </c>
      <c r="AG9" s="322" t="s">
        <v>198</v>
      </c>
      <c r="AH9" s="322" t="s">
        <v>199</v>
      </c>
      <c r="AI9" s="212"/>
    </row>
    <row r="10" spans="1:35" ht="12.75" customHeight="1" x14ac:dyDescent="0.2">
      <c r="A10" s="283"/>
      <c r="B10" s="284"/>
      <c r="C10" s="299"/>
      <c r="D10" s="299"/>
      <c r="E10" s="299"/>
      <c r="F10" s="299"/>
      <c r="G10" s="302"/>
      <c r="H10" s="320"/>
      <c r="I10" s="302"/>
      <c r="J10" s="320"/>
      <c r="K10" s="320"/>
      <c r="L10" s="296"/>
      <c r="M10" s="296"/>
      <c r="N10" s="296"/>
      <c r="O10" s="317"/>
      <c r="P10" s="317"/>
      <c r="Q10" s="317"/>
      <c r="R10" s="317"/>
      <c r="S10" s="299"/>
      <c r="T10" s="299"/>
      <c r="U10" s="299"/>
      <c r="V10" s="299"/>
      <c r="W10" s="336"/>
      <c r="X10" s="332"/>
      <c r="Y10" s="323"/>
      <c r="Z10" s="332"/>
      <c r="AA10" s="332"/>
      <c r="AB10" s="334"/>
      <c r="AC10" s="334"/>
      <c r="AD10" s="323"/>
      <c r="AE10" s="323"/>
      <c r="AF10" s="323"/>
      <c r="AG10" s="323"/>
      <c r="AH10" s="323"/>
      <c r="AI10" s="212"/>
    </row>
    <row r="11" spans="1:35" ht="13.5" thickBot="1" x14ac:dyDescent="0.25">
      <c r="A11" s="285"/>
      <c r="B11" s="286"/>
      <c r="C11" s="300"/>
      <c r="D11" s="300"/>
      <c r="E11" s="300"/>
      <c r="F11" s="300"/>
      <c r="G11" s="303"/>
      <c r="H11" s="321"/>
      <c r="I11" s="303"/>
      <c r="J11" s="321"/>
      <c r="K11" s="321"/>
      <c r="L11" s="297"/>
      <c r="M11" s="297"/>
      <c r="N11" s="297"/>
      <c r="O11" s="318"/>
      <c r="P11" s="318"/>
      <c r="Q11" s="318"/>
      <c r="R11" s="318"/>
      <c r="S11" s="300"/>
      <c r="T11" s="300"/>
      <c r="U11" s="300"/>
      <c r="V11" s="300"/>
      <c r="W11" s="337"/>
      <c r="X11" s="333"/>
      <c r="Y11" s="324"/>
      <c r="Z11" s="333"/>
      <c r="AA11" s="333"/>
      <c r="AB11" s="335"/>
      <c r="AC11" s="335"/>
      <c r="AD11" s="324"/>
      <c r="AE11" s="324"/>
      <c r="AF11" s="324"/>
      <c r="AG11" s="324"/>
      <c r="AH11" s="324"/>
    </row>
    <row r="12" spans="1:35" ht="13.5" thickTop="1" x14ac:dyDescent="0.2">
      <c r="A12" s="221">
        <v>2400</v>
      </c>
      <c r="B12" s="221">
        <v>2389</v>
      </c>
      <c r="C12" s="213">
        <v>0</v>
      </c>
      <c r="D12" s="231">
        <f>'Data Entry'!E28</f>
        <v>1200</v>
      </c>
      <c r="E12" s="214">
        <f>'Data Entry'!F28</f>
        <v>0</v>
      </c>
      <c r="F12" s="213">
        <f>'Data Entry'!N28</f>
        <v>300</v>
      </c>
      <c r="G12" s="217" t="str">
        <f t="shared" ref="G12:G43" si="0">IF(C12&gt;I$124,"Yes","No")</f>
        <v>No</v>
      </c>
      <c r="H12" s="217" t="str">
        <f t="shared" ref="H12:H43" si="1">IF(F12&lt;I$122,"Yes","No")</f>
        <v>No</v>
      </c>
      <c r="I12" s="217">
        <f>IF(AND('Data Entry'!D$2&gt;=Fermentation!B12,'Data Entry'!D$2&lt;=Fermentation!A12),10,ROUND(I11*(1+I$116),0))</f>
        <v>0</v>
      </c>
      <c r="J12" s="216">
        <f t="shared" ref="J12:J43" si="2">IF(D12-I$119&lt;0,0,D12-I$119)</f>
        <v>1189</v>
      </c>
      <c r="K12" s="216">
        <f t="shared" ref="K12:K43" si="3">IF(E12-I$120&lt;0,0,E12-I$120)</f>
        <v>0</v>
      </c>
      <c r="L12" s="217">
        <f t="shared" ref="L12:L22" si="4">IF(AND(G12="No",H12="No"),MIN(I12,J12),0)</f>
        <v>0</v>
      </c>
      <c r="M12" s="217">
        <f t="shared" ref="M12:M22" si="5">IF(AND(G12="No",H12="No"),MIN(I12-L12,K12),0)</f>
        <v>0</v>
      </c>
      <c r="N12" s="218">
        <f t="shared" ref="N12:N43" si="6">IF(I$117=0,0,ROUNDDOWN((L12+M12)/I$117,0))</f>
        <v>0</v>
      </c>
      <c r="O12" s="216">
        <f>IF(LEFT($G$7,1)="Y",L12+M12,0)</f>
        <v>0</v>
      </c>
      <c r="P12" s="216">
        <f>IF(LEFT($G$7,1)="M",L12+M12,0)</f>
        <v>0</v>
      </c>
      <c r="Q12" s="216">
        <f>IF(LEFT($G$7,1)="A",L12+M12,0)</f>
        <v>0</v>
      </c>
      <c r="R12" s="216">
        <f>IF(LEFT($G$7,1)="L",L12+M12,0)</f>
        <v>0</v>
      </c>
      <c r="S12" s="213">
        <f>C12+O12</f>
        <v>0</v>
      </c>
      <c r="T12" s="214">
        <f>D12-L12</f>
        <v>1200</v>
      </c>
      <c r="U12" s="214">
        <f>E12-M12</f>
        <v>0</v>
      </c>
      <c r="V12" s="213">
        <f>F12-N12</f>
        <v>300</v>
      </c>
      <c r="W12" s="225" t="str">
        <f t="shared" ref="W12:W43" si="7">IF(S12&gt;Y$124,"Yes","No")</f>
        <v>No</v>
      </c>
      <c r="X12" s="225" t="str">
        <f t="shared" ref="X12:X43" si="8">IF(V12&lt;Y$122,"Yes","No")</f>
        <v>No</v>
      </c>
      <c r="Y12" s="225">
        <f>IF(AND('Data Entry'!D$3&gt;=Fermentation!B12,'Data Entry'!D$3&lt;=Fermentation!A12),10,ROUND(Y11*(1+Y$116),0))</f>
        <v>0</v>
      </c>
      <c r="Z12" s="224">
        <f t="shared" ref="Z12:Z43" si="9">IF(T12-Y$119&lt;0,0,T12-Y$119)</f>
        <v>1200</v>
      </c>
      <c r="AA12" s="224">
        <f t="shared" ref="AA12:AA43" si="10">IF(U12-Y$120&lt;0,0,U12-Y$120)</f>
        <v>0</v>
      </c>
      <c r="AB12" s="224">
        <f t="shared" ref="AB12:AB22" si="11">IF(AND(W12="No",X12="No"),MIN(Y12,Z12),0)</f>
        <v>0</v>
      </c>
      <c r="AC12" s="224">
        <f t="shared" ref="AC12:AC22" si="12">IF(AND(W12="No",X12="No"),MIN(Y12-AB12,AA12),0)</f>
        <v>0</v>
      </c>
      <c r="AD12" s="226">
        <f t="shared" ref="AD12:AD43" si="13">IF(Y$117=0,0,ROUNDDOWN((AB12+AC12)/Y$117,0))</f>
        <v>0</v>
      </c>
      <c r="AE12" s="224">
        <f>IF(LEFT($W$7,1)="Y",AB12+AC12,0)</f>
        <v>0</v>
      </c>
      <c r="AF12" s="224">
        <f>IF(LEFT($W$7,1)="M",AB12+AC12,0)</f>
        <v>0</v>
      </c>
      <c r="AG12" s="224">
        <f>IF(LEFT($W$7,1)="A",AB12+AC12,0)</f>
        <v>0</v>
      </c>
      <c r="AH12" s="224">
        <f>IF(LEFT($W$7,1)="L",AB12+AC12,0)</f>
        <v>0</v>
      </c>
    </row>
    <row r="13" spans="1:35" x14ac:dyDescent="0.2">
      <c r="A13" s="222">
        <v>2388</v>
      </c>
      <c r="B13" s="222">
        <v>2365</v>
      </c>
      <c r="C13" s="215">
        <f>S12+AE12</f>
        <v>0</v>
      </c>
      <c r="D13" s="215">
        <f>T12-AB12</f>
        <v>1200</v>
      </c>
      <c r="E13" s="215">
        <f>U12-AC12</f>
        <v>0</v>
      </c>
      <c r="F13" s="215">
        <f>V12-AD12</f>
        <v>300</v>
      </c>
      <c r="G13" s="217" t="str">
        <f t="shared" si="0"/>
        <v>No</v>
      </c>
      <c r="H13" s="217" t="str">
        <f t="shared" si="1"/>
        <v>No</v>
      </c>
      <c r="I13" s="217">
        <f>IF(AND('Data Entry'!D$2&gt;=Fermentation!B13,'Data Entry'!D$2&lt;=Fermentation!A13,G13="No",H13="No"),10,ROUND(I12*(1+I$116),0))</f>
        <v>0</v>
      </c>
      <c r="J13" s="217">
        <f t="shared" si="2"/>
        <v>1189</v>
      </c>
      <c r="K13" s="217">
        <f t="shared" si="3"/>
        <v>0</v>
      </c>
      <c r="L13" s="217">
        <f t="shared" si="4"/>
        <v>0</v>
      </c>
      <c r="M13" s="217">
        <f t="shared" si="5"/>
        <v>0</v>
      </c>
      <c r="N13" s="218">
        <f t="shared" si="6"/>
        <v>0</v>
      </c>
      <c r="O13" s="217">
        <f t="shared" ref="O13:O22" si="14">IF(LEFT($G$7,1)="Y",L13+M13,0)</f>
        <v>0</v>
      </c>
      <c r="P13" s="217">
        <f t="shared" ref="P13:P22" si="15">IF(LEFT($G$7,1)="M",L13+M13,0)</f>
        <v>0</v>
      </c>
      <c r="Q13" s="217">
        <f t="shared" ref="Q13:Q22" si="16">IF(LEFT($G$7,1)="A",L13+M13,0)</f>
        <v>0</v>
      </c>
      <c r="R13" s="217">
        <f t="shared" ref="R13:R22" si="17">IF(LEFT($G$7,1)="L",L13+M13,0)</f>
        <v>0</v>
      </c>
      <c r="S13" s="242">
        <f t="shared" ref="S13:S22" si="18">C13+O13</f>
        <v>0</v>
      </c>
      <c r="T13" s="215">
        <f t="shared" ref="T13:T22" si="19">D13-L13</f>
        <v>1200</v>
      </c>
      <c r="U13" s="215">
        <f t="shared" ref="U13:U22" si="20">E13-M13</f>
        <v>0</v>
      </c>
      <c r="V13" s="243">
        <f t="shared" ref="V13:V22" si="21">F13-N13</f>
        <v>300</v>
      </c>
      <c r="W13" s="225" t="str">
        <f t="shared" si="7"/>
        <v>No</v>
      </c>
      <c r="X13" s="225" t="str">
        <f t="shared" si="8"/>
        <v>No</v>
      </c>
      <c r="Y13" s="225">
        <f>IF(AND('Data Entry'!D$3&gt;=Fermentation!B13,'Data Entry'!D$3&lt;=Fermentation!A13),10,ROUND(Y12*(1+Y$116),0))</f>
        <v>0</v>
      </c>
      <c r="Z13" s="225">
        <f t="shared" si="9"/>
        <v>1200</v>
      </c>
      <c r="AA13" s="225">
        <f t="shared" si="10"/>
        <v>0</v>
      </c>
      <c r="AB13" s="225">
        <f t="shared" si="11"/>
        <v>0</v>
      </c>
      <c r="AC13" s="225">
        <f t="shared" si="12"/>
        <v>0</v>
      </c>
      <c r="AD13" s="226">
        <f t="shared" si="13"/>
        <v>0</v>
      </c>
      <c r="AE13" s="225">
        <f t="shared" ref="AE13:AE22" si="22">IF(LEFT($W$7,1)="Y",AB13+AC13,0)</f>
        <v>0</v>
      </c>
      <c r="AF13" s="225">
        <f t="shared" ref="AF13:AF22" si="23">IF(LEFT($W$7,1)="M",AB13+AC13,0)</f>
        <v>0</v>
      </c>
      <c r="AG13" s="225">
        <f t="shared" ref="AG13:AG22" si="24">IF(LEFT($W$7,1)="A",AB13+AC13,0)</f>
        <v>0</v>
      </c>
      <c r="AH13" s="225">
        <f t="shared" ref="AH13:AH22" si="25">IF(LEFT($W$7,1)="L",AB13+AC13,0)</f>
        <v>0</v>
      </c>
    </row>
    <row r="14" spans="1:35" x14ac:dyDescent="0.2">
      <c r="A14" s="222">
        <v>2364</v>
      </c>
      <c r="B14" s="222">
        <v>2341</v>
      </c>
      <c r="C14" s="215">
        <f t="shared" ref="C14:C22" si="26">S13+AE13</f>
        <v>0</v>
      </c>
      <c r="D14" s="215">
        <f t="shared" ref="D14:D22" si="27">T13-AB13</f>
        <v>1200</v>
      </c>
      <c r="E14" s="215">
        <f t="shared" ref="E14:E22" si="28">U13-AC13</f>
        <v>0</v>
      </c>
      <c r="F14" s="215">
        <f t="shared" ref="F14:F22" si="29">V13-AD13</f>
        <v>300</v>
      </c>
      <c r="G14" s="217" t="str">
        <f t="shared" si="0"/>
        <v>No</v>
      </c>
      <c r="H14" s="217" t="str">
        <f t="shared" si="1"/>
        <v>No</v>
      </c>
      <c r="I14" s="217">
        <f>IF(AND('Data Entry'!D$2&gt;=Fermentation!B14,'Data Entry'!D$2&lt;=Fermentation!A14,G14="No",H14="No"),10,ROUND(I13*(1+I$116),0))</f>
        <v>0</v>
      </c>
      <c r="J14" s="217">
        <f t="shared" si="2"/>
        <v>1189</v>
      </c>
      <c r="K14" s="217">
        <f t="shared" si="3"/>
        <v>0</v>
      </c>
      <c r="L14" s="217">
        <f t="shared" si="4"/>
        <v>0</v>
      </c>
      <c r="M14" s="217">
        <f t="shared" si="5"/>
        <v>0</v>
      </c>
      <c r="N14" s="218">
        <f t="shared" si="6"/>
        <v>0</v>
      </c>
      <c r="O14" s="217">
        <f t="shared" si="14"/>
        <v>0</v>
      </c>
      <c r="P14" s="217">
        <f t="shared" si="15"/>
        <v>0</v>
      </c>
      <c r="Q14" s="217">
        <f t="shared" si="16"/>
        <v>0</v>
      </c>
      <c r="R14" s="217">
        <f t="shared" si="17"/>
        <v>0</v>
      </c>
      <c r="S14" s="242">
        <f t="shared" si="18"/>
        <v>0</v>
      </c>
      <c r="T14" s="215">
        <f t="shared" si="19"/>
        <v>1200</v>
      </c>
      <c r="U14" s="215">
        <f t="shared" si="20"/>
        <v>0</v>
      </c>
      <c r="V14" s="243">
        <f t="shared" si="21"/>
        <v>300</v>
      </c>
      <c r="W14" s="225" t="str">
        <f t="shared" si="7"/>
        <v>No</v>
      </c>
      <c r="X14" s="225" t="str">
        <f t="shared" si="8"/>
        <v>No</v>
      </c>
      <c r="Y14" s="225">
        <f>IF(AND('Data Entry'!D$3&gt;=Fermentation!B14,'Data Entry'!D$3&lt;=Fermentation!A14),10,ROUND(Y13*(1+Y$116),0))</f>
        <v>0</v>
      </c>
      <c r="Z14" s="225">
        <f t="shared" si="9"/>
        <v>1200</v>
      </c>
      <c r="AA14" s="225">
        <f t="shared" si="10"/>
        <v>0</v>
      </c>
      <c r="AB14" s="225">
        <f t="shared" si="11"/>
        <v>0</v>
      </c>
      <c r="AC14" s="225">
        <f t="shared" si="12"/>
        <v>0</v>
      </c>
      <c r="AD14" s="226">
        <f t="shared" si="13"/>
        <v>0</v>
      </c>
      <c r="AE14" s="225">
        <f t="shared" si="22"/>
        <v>0</v>
      </c>
      <c r="AF14" s="225">
        <f t="shared" si="23"/>
        <v>0</v>
      </c>
      <c r="AG14" s="225">
        <f t="shared" si="24"/>
        <v>0</v>
      </c>
      <c r="AH14" s="225">
        <f t="shared" si="25"/>
        <v>0</v>
      </c>
    </row>
    <row r="15" spans="1:35" x14ac:dyDescent="0.2">
      <c r="A15" s="222">
        <v>2340</v>
      </c>
      <c r="B15" s="222">
        <v>2317</v>
      </c>
      <c r="C15" s="215">
        <f t="shared" si="26"/>
        <v>0</v>
      </c>
      <c r="D15" s="215">
        <f t="shared" si="27"/>
        <v>1200</v>
      </c>
      <c r="E15" s="215">
        <f t="shared" si="28"/>
        <v>0</v>
      </c>
      <c r="F15" s="215">
        <f t="shared" si="29"/>
        <v>300</v>
      </c>
      <c r="G15" s="217" t="str">
        <f t="shared" si="0"/>
        <v>No</v>
      </c>
      <c r="H15" s="217" t="str">
        <f t="shared" si="1"/>
        <v>No</v>
      </c>
      <c r="I15" s="217">
        <f>IF(AND('Data Entry'!D$2&gt;=Fermentation!B15,'Data Entry'!D$2&lt;=Fermentation!A15,G15="No",H15="No"),10,ROUND(I14*(1+I$116),0))</f>
        <v>0</v>
      </c>
      <c r="J15" s="217">
        <f t="shared" si="2"/>
        <v>1189</v>
      </c>
      <c r="K15" s="217">
        <f t="shared" si="3"/>
        <v>0</v>
      </c>
      <c r="L15" s="217">
        <f t="shared" si="4"/>
        <v>0</v>
      </c>
      <c r="M15" s="217">
        <f t="shared" si="5"/>
        <v>0</v>
      </c>
      <c r="N15" s="218">
        <f t="shared" si="6"/>
        <v>0</v>
      </c>
      <c r="O15" s="217">
        <f t="shared" si="14"/>
        <v>0</v>
      </c>
      <c r="P15" s="217">
        <f t="shared" si="15"/>
        <v>0</v>
      </c>
      <c r="Q15" s="217">
        <f t="shared" si="16"/>
        <v>0</v>
      </c>
      <c r="R15" s="217">
        <f t="shared" si="17"/>
        <v>0</v>
      </c>
      <c r="S15" s="242">
        <f t="shared" si="18"/>
        <v>0</v>
      </c>
      <c r="T15" s="215">
        <f t="shared" si="19"/>
        <v>1200</v>
      </c>
      <c r="U15" s="215">
        <f t="shared" si="20"/>
        <v>0</v>
      </c>
      <c r="V15" s="243">
        <f t="shared" si="21"/>
        <v>300</v>
      </c>
      <c r="W15" s="225" t="str">
        <f t="shared" si="7"/>
        <v>No</v>
      </c>
      <c r="X15" s="225" t="str">
        <f t="shared" si="8"/>
        <v>No</v>
      </c>
      <c r="Y15" s="225">
        <f>IF(AND('Data Entry'!D$3&gt;=Fermentation!B15,'Data Entry'!D$3&lt;=Fermentation!A15),10,ROUND(Y14*(1+Y$116),0))</f>
        <v>0</v>
      </c>
      <c r="Z15" s="225">
        <f t="shared" si="9"/>
        <v>1200</v>
      </c>
      <c r="AA15" s="225">
        <f t="shared" si="10"/>
        <v>0</v>
      </c>
      <c r="AB15" s="225">
        <f t="shared" si="11"/>
        <v>0</v>
      </c>
      <c r="AC15" s="225">
        <f t="shared" si="12"/>
        <v>0</v>
      </c>
      <c r="AD15" s="226">
        <f t="shared" si="13"/>
        <v>0</v>
      </c>
      <c r="AE15" s="225">
        <f t="shared" si="22"/>
        <v>0</v>
      </c>
      <c r="AF15" s="225">
        <f t="shared" si="23"/>
        <v>0</v>
      </c>
      <c r="AG15" s="225">
        <f t="shared" si="24"/>
        <v>0</v>
      </c>
      <c r="AH15" s="225">
        <f t="shared" si="25"/>
        <v>0</v>
      </c>
    </row>
    <row r="16" spans="1:35" x14ac:dyDescent="0.2">
      <c r="A16" s="222">
        <v>2316</v>
      </c>
      <c r="B16" s="222">
        <v>2293</v>
      </c>
      <c r="C16" s="215">
        <f t="shared" si="26"/>
        <v>0</v>
      </c>
      <c r="D16" s="215">
        <f t="shared" si="27"/>
        <v>1200</v>
      </c>
      <c r="E16" s="215">
        <f t="shared" si="28"/>
        <v>0</v>
      </c>
      <c r="F16" s="215">
        <f t="shared" si="29"/>
        <v>300</v>
      </c>
      <c r="G16" s="217" t="str">
        <f t="shared" si="0"/>
        <v>No</v>
      </c>
      <c r="H16" s="217" t="str">
        <f t="shared" si="1"/>
        <v>No</v>
      </c>
      <c r="I16" s="217">
        <f>IF(AND('Data Entry'!D$2&gt;=Fermentation!B16,'Data Entry'!D$2&lt;=Fermentation!A16,G16="No",H16="No"),10,ROUND(I15*(1+I$116),0))</f>
        <v>0</v>
      </c>
      <c r="J16" s="217">
        <f t="shared" si="2"/>
        <v>1189</v>
      </c>
      <c r="K16" s="217">
        <f t="shared" si="3"/>
        <v>0</v>
      </c>
      <c r="L16" s="217">
        <f t="shared" si="4"/>
        <v>0</v>
      </c>
      <c r="M16" s="217">
        <f t="shared" si="5"/>
        <v>0</v>
      </c>
      <c r="N16" s="218">
        <f t="shared" si="6"/>
        <v>0</v>
      </c>
      <c r="O16" s="217">
        <f t="shared" si="14"/>
        <v>0</v>
      </c>
      <c r="P16" s="217">
        <f t="shared" si="15"/>
        <v>0</v>
      </c>
      <c r="Q16" s="217">
        <f t="shared" si="16"/>
        <v>0</v>
      </c>
      <c r="R16" s="217">
        <f t="shared" si="17"/>
        <v>0</v>
      </c>
      <c r="S16" s="242">
        <f t="shared" si="18"/>
        <v>0</v>
      </c>
      <c r="T16" s="215">
        <f t="shared" si="19"/>
        <v>1200</v>
      </c>
      <c r="U16" s="215">
        <f t="shared" si="20"/>
        <v>0</v>
      </c>
      <c r="V16" s="243">
        <f t="shared" si="21"/>
        <v>300</v>
      </c>
      <c r="W16" s="225" t="str">
        <f t="shared" si="7"/>
        <v>No</v>
      </c>
      <c r="X16" s="225" t="str">
        <f t="shared" si="8"/>
        <v>No</v>
      </c>
      <c r="Y16" s="225">
        <f>IF(AND('Data Entry'!D$3&gt;=Fermentation!B16,'Data Entry'!D$3&lt;=Fermentation!A16),10,ROUND(Y15*(1+Y$116),0))</f>
        <v>0</v>
      </c>
      <c r="Z16" s="225">
        <f t="shared" si="9"/>
        <v>1200</v>
      </c>
      <c r="AA16" s="225">
        <f t="shared" si="10"/>
        <v>0</v>
      </c>
      <c r="AB16" s="225">
        <f t="shared" si="11"/>
        <v>0</v>
      </c>
      <c r="AC16" s="225">
        <f t="shared" si="12"/>
        <v>0</v>
      </c>
      <c r="AD16" s="226">
        <f t="shared" si="13"/>
        <v>0</v>
      </c>
      <c r="AE16" s="225">
        <f t="shared" si="22"/>
        <v>0</v>
      </c>
      <c r="AF16" s="225">
        <f t="shared" si="23"/>
        <v>0</v>
      </c>
      <c r="AG16" s="225">
        <f t="shared" si="24"/>
        <v>0</v>
      </c>
      <c r="AH16" s="225">
        <f t="shared" si="25"/>
        <v>0</v>
      </c>
    </row>
    <row r="17" spans="1:34" x14ac:dyDescent="0.2">
      <c r="A17" s="222">
        <v>2292</v>
      </c>
      <c r="B17" s="222">
        <v>2269</v>
      </c>
      <c r="C17" s="215">
        <f t="shared" si="26"/>
        <v>0</v>
      </c>
      <c r="D17" s="215">
        <f t="shared" si="27"/>
        <v>1200</v>
      </c>
      <c r="E17" s="215">
        <f t="shared" si="28"/>
        <v>0</v>
      </c>
      <c r="F17" s="215">
        <f t="shared" si="29"/>
        <v>300</v>
      </c>
      <c r="G17" s="217" t="str">
        <f t="shared" si="0"/>
        <v>No</v>
      </c>
      <c r="H17" s="217" t="str">
        <f t="shared" si="1"/>
        <v>No</v>
      </c>
      <c r="I17" s="217">
        <f>IF(AND('Data Entry'!D$2&gt;=Fermentation!B17,'Data Entry'!D$2&lt;=Fermentation!A17,G17="No",H17="No"),10,ROUND(I16*(1+I$116),0))</f>
        <v>0</v>
      </c>
      <c r="J17" s="217">
        <f t="shared" si="2"/>
        <v>1189</v>
      </c>
      <c r="K17" s="217">
        <f t="shared" si="3"/>
        <v>0</v>
      </c>
      <c r="L17" s="217">
        <f t="shared" si="4"/>
        <v>0</v>
      </c>
      <c r="M17" s="217">
        <f t="shared" si="5"/>
        <v>0</v>
      </c>
      <c r="N17" s="218">
        <f t="shared" si="6"/>
        <v>0</v>
      </c>
      <c r="O17" s="217">
        <f t="shared" si="14"/>
        <v>0</v>
      </c>
      <c r="P17" s="217">
        <f t="shared" si="15"/>
        <v>0</v>
      </c>
      <c r="Q17" s="217">
        <f t="shared" si="16"/>
        <v>0</v>
      </c>
      <c r="R17" s="217">
        <f t="shared" si="17"/>
        <v>0</v>
      </c>
      <c r="S17" s="242">
        <f t="shared" si="18"/>
        <v>0</v>
      </c>
      <c r="T17" s="215">
        <f t="shared" si="19"/>
        <v>1200</v>
      </c>
      <c r="U17" s="215">
        <f t="shared" si="20"/>
        <v>0</v>
      </c>
      <c r="V17" s="243">
        <f t="shared" si="21"/>
        <v>300</v>
      </c>
      <c r="W17" s="225" t="str">
        <f t="shared" si="7"/>
        <v>No</v>
      </c>
      <c r="X17" s="225" t="str">
        <f t="shared" si="8"/>
        <v>No</v>
      </c>
      <c r="Y17" s="225">
        <f>IF(AND('Data Entry'!D$3&gt;=Fermentation!B17,'Data Entry'!D$3&lt;=Fermentation!A17),10,ROUND(Y16*(1+Y$116),0))</f>
        <v>0</v>
      </c>
      <c r="Z17" s="225">
        <f t="shared" si="9"/>
        <v>1200</v>
      </c>
      <c r="AA17" s="225">
        <f t="shared" si="10"/>
        <v>0</v>
      </c>
      <c r="AB17" s="225">
        <f t="shared" si="11"/>
        <v>0</v>
      </c>
      <c r="AC17" s="225">
        <f t="shared" si="12"/>
        <v>0</v>
      </c>
      <c r="AD17" s="226">
        <f t="shared" si="13"/>
        <v>0</v>
      </c>
      <c r="AE17" s="225">
        <f t="shared" si="22"/>
        <v>0</v>
      </c>
      <c r="AF17" s="225">
        <f t="shared" si="23"/>
        <v>0</v>
      </c>
      <c r="AG17" s="225">
        <f t="shared" si="24"/>
        <v>0</v>
      </c>
      <c r="AH17" s="225">
        <f t="shared" si="25"/>
        <v>0</v>
      </c>
    </row>
    <row r="18" spans="1:34" x14ac:dyDescent="0.2">
      <c r="A18" s="222">
        <v>2268</v>
      </c>
      <c r="B18" s="222">
        <v>2245</v>
      </c>
      <c r="C18" s="215">
        <f t="shared" si="26"/>
        <v>0</v>
      </c>
      <c r="D18" s="215">
        <f t="shared" si="27"/>
        <v>1200</v>
      </c>
      <c r="E18" s="215">
        <f t="shared" si="28"/>
        <v>0</v>
      </c>
      <c r="F18" s="215">
        <f t="shared" si="29"/>
        <v>300</v>
      </c>
      <c r="G18" s="217" t="str">
        <f t="shared" si="0"/>
        <v>No</v>
      </c>
      <c r="H18" s="217" t="str">
        <f t="shared" si="1"/>
        <v>No</v>
      </c>
      <c r="I18" s="217">
        <f>IF(AND('Data Entry'!D$2&gt;=Fermentation!B18,'Data Entry'!D$2&lt;=Fermentation!A18,G18="No",H18="No"),10,ROUND(I17*(1+I$116),0))</f>
        <v>0</v>
      </c>
      <c r="J18" s="217">
        <f t="shared" si="2"/>
        <v>1189</v>
      </c>
      <c r="K18" s="217">
        <f t="shared" si="3"/>
        <v>0</v>
      </c>
      <c r="L18" s="217">
        <f t="shared" si="4"/>
        <v>0</v>
      </c>
      <c r="M18" s="217">
        <f t="shared" si="5"/>
        <v>0</v>
      </c>
      <c r="N18" s="218">
        <f t="shared" si="6"/>
        <v>0</v>
      </c>
      <c r="O18" s="217">
        <f t="shared" si="14"/>
        <v>0</v>
      </c>
      <c r="P18" s="217">
        <f t="shared" si="15"/>
        <v>0</v>
      </c>
      <c r="Q18" s="217">
        <f t="shared" si="16"/>
        <v>0</v>
      </c>
      <c r="R18" s="217">
        <f t="shared" si="17"/>
        <v>0</v>
      </c>
      <c r="S18" s="242">
        <f t="shared" si="18"/>
        <v>0</v>
      </c>
      <c r="T18" s="215">
        <f t="shared" si="19"/>
        <v>1200</v>
      </c>
      <c r="U18" s="215">
        <f t="shared" si="20"/>
        <v>0</v>
      </c>
      <c r="V18" s="243">
        <f t="shared" si="21"/>
        <v>300</v>
      </c>
      <c r="W18" s="225" t="str">
        <f t="shared" si="7"/>
        <v>No</v>
      </c>
      <c r="X18" s="225" t="str">
        <f t="shared" si="8"/>
        <v>No</v>
      </c>
      <c r="Y18" s="225">
        <f>IF(AND('Data Entry'!D$3&gt;=Fermentation!B18,'Data Entry'!D$3&lt;=Fermentation!A18),10,ROUND(Y17*(1+Y$116),0))</f>
        <v>0</v>
      </c>
      <c r="Z18" s="225">
        <f t="shared" si="9"/>
        <v>1200</v>
      </c>
      <c r="AA18" s="225">
        <f t="shared" si="10"/>
        <v>0</v>
      </c>
      <c r="AB18" s="225">
        <f t="shared" si="11"/>
        <v>0</v>
      </c>
      <c r="AC18" s="225">
        <f t="shared" si="12"/>
        <v>0</v>
      </c>
      <c r="AD18" s="226">
        <f t="shared" si="13"/>
        <v>0</v>
      </c>
      <c r="AE18" s="225">
        <f t="shared" si="22"/>
        <v>0</v>
      </c>
      <c r="AF18" s="225">
        <f t="shared" si="23"/>
        <v>0</v>
      </c>
      <c r="AG18" s="225">
        <f t="shared" si="24"/>
        <v>0</v>
      </c>
      <c r="AH18" s="225">
        <f t="shared" si="25"/>
        <v>0</v>
      </c>
    </row>
    <row r="19" spans="1:34" x14ac:dyDescent="0.2">
      <c r="A19" s="222">
        <v>2244</v>
      </c>
      <c r="B19" s="222">
        <v>2221</v>
      </c>
      <c r="C19" s="215">
        <f t="shared" si="26"/>
        <v>0</v>
      </c>
      <c r="D19" s="215">
        <f t="shared" si="27"/>
        <v>1200</v>
      </c>
      <c r="E19" s="215">
        <f t="shared" si="28"/>
        <v>0</v>
      </c>
      <c r="F19" s="215">
        <f t="shared" si="29"/>
        <v>300</v>
      </c>
      <c r="G19" s="217" t="str">
        <f t="shared" si="0"/>
        <v>No</v>
      </c>
      <c r="H19" s="217" t="str">
        <f t="shared" si="1"/>
        <v>No</v>
      </c>
      <c r="I19" s="217">
        <f>IF(AND('Data Entry'!D$2&gt;=Fermentation!B19,'Data Entry'!D$2&lt;=Fermentation!A19,G19="No",H19="No"),10,ROUND(I18*(1+I$116),0))</f>
        <v>0</v>
      </c>
      <c r="J19" s="217">
        <f t="shared" si="2"/>
        <v>1189</v>
      </c>
      <c r="K19" s="217">
        <f t="shared" si="3"/>
        <v>0</v>
      </c>
      <c r="L19" s="217">
        <f t="shared" si="4"/>
        <v>0</v>
      </c>
      <c r="M19" s="217">
        <f t="shared" si="5"/>
        <v>0</v>
      </c>
      <c r="N19" s="218">
        <f t="shared" si="6"/>
        <v>0</v>
      </c>
      <c r="O19" s="217">
        <f t="shared" si="14"/>
        <v>0</v>
      </c>
      <c r="P19" s="217">
        <f t="shared" si="15"/>
        <v>0</v>
      </c>
      <c r="Q19" s="217">
        <f t="shared" si="16"/>
        <v>0</v>
      </c>
      <c r="R19" s="217">
        <f t="shared" si="17"/>
        <v>0</v>
      </c>
      <c r="S19" s="242">
        <f t="shared" si="18"/>
        <v>0</v>
      </c>
      <c r="T19" s="215">
        <f t="shared" si="19"/>
        <v>1200</v>
      </c>
      <c r="U19" s="215">
        <f t="shared" si="20"/>
        <v>0</v>
      </c>
      <c r="V19" s="243">
        <f t="shared" si="21"/>
        <v>300</v>
      </c>
      <c r="W19" s="225" t="str">
        <f t="shared" si="7"/>
        <v>No</v>
      </c>
      <c r="X19" s="225" t="str">
        <f t="shared" si="8"/>
        <v>No</v>
      </c>
      <c r="Y19" s="225">
        <f>IF(AND('Data Entry'!D$3&gt;=Fermentation!B19,'Data Entry'!D$3&lt;=Fermentation!A19),10,ROUND(Y18*(1+Y$116),0))</f>
        <v>0</v>
      </c>
      <c r="Z19" s="225">
        <f t="shared" si="9"/>
        <v>1200</v>
      </c>
      <c r="AA19" s="225">
        <f t="shared" si="10"/>
        <v>0</v>
      </c>
      <c r="AB19" s="225">
        <f t="shared" si="11"/>
        <v>0</v>
      </c>
      <c r="AC19" s="225">
        <f t="shared" si="12"/>
        <v>0</v>
      </c>
      <c r="AD19" s="226">
        <f t="shared" si="13"/>
        <v>0</v>
      </c>
      <c r="AE19" s="225">
        <f t="shared" si="22"/>
        <v>0</v>
      </c>
      <c r="AF19" s="225">
        <f t="shared" si="23"/>
        <v>0</v>
      </c>
      <c r="AG19" s="225">
        <f t="shared" si="24"/>
        <v>0</v>
      </c>
      <c r="AH19" s="225">
        <f t="shared" si="25"/>
        <v>0</v>
      </c>
    </row>
    <row r="20" spans="1:34" x14ac:dyDescent="0.2">
      <c r="A20" s="222">
        <v>2220</v>
      </c>
      <c r="B20" s="222">
        <v>2197</v>
      </c>
      <c r="C20" s="215">
        <f t="shared" si="26"/>
        <v>0</v>
      </c>
      <c r="D20" s="215">
        <f t="shared" si="27"/>
        <v>1200</v>
      </c>
      <c r="E20" s="215">
        <f t="shared" si="28"/>
        <v>0</v>
      </c>
      <c r="F20" s="215">
        <f t="shared" si="29"/>
        <v>300</v>
      </c>
      <c r="G20" s="217" t="str">
        <f t="shared" si="0"/>
        <v>No</v>
      </c>
      <c r="H20" s="217" t="str">
        <f t="shared" si="1"/>
        <v>No</v>
      </c>
      <c r="I20" s="217">
        <f>IF(AND('Data Entry'!D$2&gt;=Fermentation!B20,'Data Entry'!D$2&lt;=Fermentation!A20,G20="No",H20="No"),10,ROUND(I19*(1+I$116),0))</f>
        <v>0</v>
      </c>
      <c r="J20" s="217">
        <f t="shared" si="2"/>
        <v>1189</v>
      </c>
      <c r="K20" s="217">
        <f t="shared" si="3"/>
        <v>0</v>
      </c>
      <c r="L20" s="217">
        <f t="shared" si="4"/>
        <v>0</v>
      </c>
      <c r="M20" s="217">
        <f t="shared" si="5"/>
        <v>0</v>
      </c>
      <c r="N20" s="218">
        <f t="shared" si="6"/>
        <v>0</v>
      </c>
      <c r="O20" s="217">
        <f t="shared" si="14"/>
        <v>0</v>
      </c>
      <c r="P20" s="217">
        <f t="shared" si="15"/>
        <v>0</v>
      </c>
      <c r="Q20" s="217">
        <f t="shared" si="16"/>
        <v>0</v>
      </c>
      <c r="R20" s="217">
        <f t="shared" si="17"/>
        <v>0</v>
      </c>
      <c r="S20" s="242">
        <f t="shared" si="18"/>
        <v>0</v>
      </c>
      <c r="T20" s="215">
        <f t="shared" si="19"/>
        <v>1200</v>
      </c>
      <c r="U20" s="215">
        <f t="shared" si="20"/>
        <v>0</v>
      </c>
      <c r="V20" s="243">
        <f t="shared" si="21"/>
        <v>300</v>
      </c>
      <c r="W20" s="225" t="str">
        <f t="shared" si="7"/>
        <v>No</v>
      </c>
      <c r="X20" s="225" t="str">
        <f t="shared" si="8"/>
        <v>No</v>
      </c>
      <c r="Y20" s="225">
        <f>IF(AND('Data Entry'!D$3&gt;=Fermentation!B20,'Data Entry'!D$3&lt;=Fermentation!A20),10,ROUND(Y19*(1+Y$116),0))</f>
        <v>0</v>
      </c>
      <c r="Z20" s="225">
        <f t="shared" si="9"/>
        <v>1200</v>
      </c>
      <c r="AA20" s="225">
        <f t="shared" si="10"/>
        <v>0</v>
      </c>
      <c r="AB20" s="225">
        <f t="shared" si="11"/>
        <v>0</v>
      </c>
      <c r="AC20" s="225">
        <f t="shared" si="12"/>
        <v>0</v>
      </c>
      <c r="AD20" s="226">
        <f t="shared" si="13"/>
        <v>0</v>
      </c>
      <c r="AE20" s="225">
        <f t="shared" si="22"/>
        <v>0</v>
      </c>
      <c r="AF20" s="225">
        <f t="shared" si="23"/>
        <v>0</v>
      </c>
      <c r="AG20" s="225">
        <f t="shared" si="24"/>
        <v>0</v>
      </c>
      <c r="AH20" s="225">
        <f t="shared" si="25"/>
        <v>0</v>
      </c>
    </row>
    <row r="21" spans="1:34" x14ac:dyDescent="0.2">
      <c r="A21" s="222">
        <v>2196</v>
      </c>
      <c r="B21" s="222">
        <v>2173</v>
      </c>
      <c r="C21" s="215">
        <f t="shared" si="26"/>
        <v>0</v>
      </c>
      <c r="D21" s="215">
        <f t="shared" si="27"/>
        <v>1200</v>
      </c>
      <c r="E21" s="215">
        <f t="shared" si="28"/>
        <v>0</v>
      </c>
      <c r="F21" s="215">
        <f t="shared" si="29"/>
        <v>300</v>
      </c>
      <c r="G21" s="217" t="str">
        <f t="shared" si="0"/>
        <v>No</v>
      </c>
      <c r="H21" s="217" t="str">
        <f t="shared" si="1"/>
        <v>No</v>
      </c>
      <c r="I21" s="217">
        <f>IF(AND('Data Entry'!D$2&gt;=Fermentation!B21,'Data Entry'!D$2&lt;=Fermentation!A21,G21="No",H21="No"),10,ROUND(I20*(1+I$116),0))</f>
        <v>0</v>
      </c>
      <c r="J21" s="217">
        <f t="shared" si="2"/>
        <v>1189</v>
      </c>
      <c r="K21" s="217">
        <f t="shared" si="3"/>
        <v>0</v>
      </c>
      <c r="L21" s="217">
        <f t="shared" si="4"/>
        <v>0</v>
      </c>
      <c r="M21" s="217">
        <f t="shared" si="5"/>
        <v>0</v>
      </c>
      <c r="N21" s="218">
        <f t="shared" si="6"/>
        <v>0</v>
      </c>
      <c r="O21" s="217">
        <f t="shared" si="14"/>
        <v>0</v>
      </c>
      <c r="P21" s="217">
        <f t="shared" si="15"/>
        <v>0</v>
      </c>
      <c r="Q21" s="217">
        <f t="shared" si="16"/>
        <v>0</v>
      </c>
      <c r="R21" s="217">
        <f t="shared" si="17"/>
        <v>0</v>
      </c>
      <c r="S21" s="242">
        <f t="shared" si="18"/>
        <v>0</v>
      </c>
      <c r="T21" s="215">
        <f t="shared" si="19"/>
        <v>1200</v>
      </c>
      <c r="U21" s="215">
        <f t="shared" si="20"/>
        <v>0</v>
      </c>
      <c r="V21" s="243">
        <f t="shared" si="21"/>
        <v>300</v>
      </c>
      <c r="W21" s="225" t="str">
        <f t="shared" si="7"/>
        <v>No</v>
      </c>
      <c r="X21" s="225" t="str">
        <f t="shared" si="8"/>
        <v>No</v>
      </c>
      <c r="Y21" s="225">
        <f>IF(AND('Data Entry'!D$3&gt;=Fermentation!B21,'Data Entry'!D$3&lt;=Fermentation!A21),10,ROUND(Y20*(1+Y$116),0))</f>
        <v>0</v>
      </c>
      <c r="Z21" s="225">
        <f t="shared" si="9"/>
        <v>1200</v>
      </c>
      <c r="AA21" s="225">
        <f t="shared" si="10"/>
        <v>0</v>
      </c>
      <c r="AB21" s="225">
        <f t="shared" si="11"/>
        <v>0</v>
      </c>
      <c r="AC21" s="225">
        <f t="shared" si="12"/>
        <v>0</v>
      </c>
      <c r="AD21" s="226">
        <f t="shared" si="13"/>
        <v>0</v>
      </c>
      <c r="AE21" s="225">
        <f t="shared" si="22"/>
        <v>0</v>
      </c>
      <c r="AF21" s="225">
        <f t="shared" si="23"/>
        <v>0</v>
      </c>
      <c r="AG21" s="225">
        <f t="shared" si="24"/>
        <v>0</v>
      </c>
      <c r="AH21" s="225">
        <f t="shared" si="25"/>
        <v>0</v>
      </c>
    </row>
    <row r="22" spans="1:34" x14ac:dyDescent="0.2">
      <c r="A22" s="222">
        <v>2172</v>
      </c>
      <c r="B22" s="222">
        <v>2149</v>
      </c>
      <c r="C22" s="215">
        <f t="shared" si="26"/>
        <v>0</v>
      </c>
      <c r="D22" s="215">
        <f t="shared" si="27"/>
        <v>1200</v>
      </c>
      <c r="E22" s="215">
        <f t="shared" si="28"/>
        <v>0</v>
      </c>
      <c r="F22" s="215">
        <f t="shared" si="29"/>
        <v>300</v>
      </c>
      <c r="G22" s="217" t="str">
        <f t="shared" si="0"/>
        <v>No</v>
      </c>
      <c r="H22" s="217" t="str">
        <f t="shared" si="1"/>
        <v>No</v>
      </c>
      <c r="I22" s="217">
        <f>IF(AND('Data Entry'!D$2&gt;=Fermentation!B22,'Data Entry'!D$2&lt;=Fermentation!A22,G22="No",H22="No"),10,ROUND(I21*(1+I$116),0))</f>
        <v>0</v>
      </c>
      <c r="J22" s="217">
        <f t="shared" si="2"/>
        <v>1189</v>
      </c>
      <c r="K22" s="217">
        <f t="shared" si="3"/>
        <v>0</v>
      </c>
      <c r="L22" s="217">
        <f t="shared" si="4"/>
        <v>0</v>
      </c>
      <c r="M22" s="217">
        <f t="shared" si="5"/>
        <v>0</v>
      </c>
      <c r="N22" s="218">
        <f t="shared" si="6"/>
        <v>0</v>
      </c>
      <c r="O22" s="217">
        <f t="shared" si="14"/>
        <v>0</v>
      </c>
      <c r="P22" s="217">
        <f t="shared" si="15"/>
        <v>0</v>
      </c>
      <c r="Q22" s="217">
        <f t="shared" si="16"/>
        <v>0</v>
      </c>
      <c r="R22" s="217">
        <f t="shared" si="17"/>
        <v>0</v>
      </c>
      <c r="S22" s="242">
        <f t="shared" si="18"/>
        <v>0</v>
      </c>
      <c r="T22" s="215">
        <f t="shared" si="19"/>
        <v>1200</v>
      </c>
      <c r="U22" s="215">
        <f t="shared" si="20"/>
        <v>0</v>
      </c>
      <c r="V22" s="243">
        <f t="shared" si="21"/>
        <v>300</v>
      </c>
      <c r="W22" s="225" t="str">
        <f t="shared" si="7"/>
        <v>No</v>
      </c>
      <c r="X22" s="225" t="str">
        <f t="shared" si="8"/>
        <v>No</v>
      </c>
      <c r="Y22" s="225">
        <f>IF(AND('Data Entry'!D$3&gt;=Fermentation!B22,'Data Entry'!D$3&lt;=Fermentation!A22),10,ROUND(Y21*(1+Y$116),0))</f>
        <v>0</v>
      </c>
      <c r="Z22" s="225">
        <f t="shared" si="9"/>
        <v>1200</v>
      </c>
      <c r="AA22" s="225">
        <f t="shared" si="10"/>
        <v>0</v>
      </c>
      <c r="AB22" s="225">
        <f t="shared" si="11"/>
        <v>0</v>
      </c>
      <c r="AC22" s="225">
        <f t="shared" si="12"/>
        <v>0</v>
      </c>
      <c r="AD22" s="226">
        <f t="shared" si="13"/>
        <v>0</v>
      </c>
      <c r="AE22" s="225">
        <f t="shared" si="22"/>
        <v>0</v>
      </c>
      <c r="AF22" s="225">
        <f t="shared" si="23"/>
        <v>0</v>
      </c>
      <c r="AG22" s="225">
        <f t="shared" si="24"/>
        <v>0</v>
      </c>
      <c r="AH22" s="225">
        <f t="shared" si="25"/>
        <v>0</v>
      </c>
    </row>
    <row r="23" spans="1:34" x14ac:dyDescent="0.2">
      <c r="A23" s="222">
        <v>2148</v>
      </c>
      <c r="B23" s="222">
        <v>2125</v>
      </c>
      <c r="C23" s="215">
        <f t="shared" ref="C23:C86" si="30">S22+AE22</f>
        <v>0</v>
      </c>
      <c r="D23" s="215">
        <f t="shared" ref="D23:D86" si="31">T22-AB22</f>
        <v>1200</v>
      </c>
      <c r="E23" s="215">
        <f t="shared" ref="E23:E86" si="32">U22-AC22</f>
        <v>0</v>
      </c>
      <c r="F23" s="215">
        <f t="shared" ref="F23:F86" si="33">V22-AD22</f>
        <v>300</v>
      </c>
      <c r="G23" s="217" t="str">
        <f t="shared" si="0"/>
        <v>No</v>
      </c>
      <c r="H23" s="217" t="str">
        <f t="shared" si="1"/>
        <v>No</v>
      </c>
      <c r="I23" s="217">
        <f>IF(AND('Data Entry'!D$2&gt;=Fermentation!B23,'Data Entry'!D$2&lt;=Fermentation!A23,G23="No",H23="No"),10,ROUND(I22*(1+I$116),0))</f>
        <v>0</v>
      </c>
      <c r="J23" s="217">
        <f t="shared" si="2"/>
        <v>1189</v>
      </c>
      <c r="K23" s="217">
        <f t="shared" si="3"/>
        <v>0</v>
      </c>
      <c r="L23" s="217">
        <f t="shared" ref="L23:L86" si="34">IF(AND(G23="No",H23="No"),MIN(I23,J23),0)</f>
        <v>0</v>
      </c>
      <c r="M23" s="217">
        <f t="shared" ref="M23:M86" si="35">IF(AND(G23="No",H23="No"),MIN(I23-L23,K23),0)</f>
        <v>0</v>
      </c>
      <c r="N23" s="218">
        <f t="shared" si="6"/>
        <v>0</v>
      </c>
      <c r="O23" s="217">
        <f t="shared" ref="O23:O86" si="36">IF(LEFT($G$7,1)="Y",L23+M23,0)</f>
        <v>0</v>
      </c>
      <c r="P23" s="217">
        <f t="shared" ref="P23:P86" si="37">IF(LEFT($G$7,1)="M",L23+M23,0)</f>
        <v>0</v>
      </c>
      <c r="Q23" s="217">
        <f t="shared" ref="Q23:Q86" si="38">IF(LEFT($G$7,1)="A",L23+M23,0)</f>
        <v>0</v>
      </c>
      <c r="R23" s="217">
        <f t="shared" ref="R23:R86" si="39">IF(LEFT($G$7,1)="L",L23+M23,0)</f>
        <v>0</v>
      </c>
      <c r="S23" s="242">
        <f t="shared" ref="S23:S86" si="40">C23+O23</f>
        <v>0</v>
      </c>
      <c r="T23" s="215">
        <f t="shared" ref="T23:T86" si="41">D23-L23</f>
        <v>1200</v>
      </c>
      <c r="U23" s="215">
        <f t="shared" ref="U23:U86" si="42">E23-M23</f>
        <v>0</v>
      </c>
      <c r="V23" s="243">
        <f t="shared" ref="V23:V86" si="43">F23-N23</f>
        <v>300</v>
      </c>
      <c r="W23" s="225" t="str">
        <f t="shared" si="7"/>
        <v>No</v>
      </c>
      <c r="X23" s="225" t="str">
        <f t="shared" si="8"/>
        <v>No</v>
      </c>
      <c r="Y23" s="225">
        <f>IF(AND('Data Entry'!D$3&gt;=Fermentation!B23,'Data Entry'!D$3&lt;=Fermentation!A23),10,ROUND(Y22*(1+Y$116),0))</f>
        <v>0</v>
      </c>
      <c r="Z23" s="225">
        <f t="shared" si="9"/>
        <v>1200</v>
      </c>
      <c r="AA23" s="225">
        <f t="shared" si="10"/>
        <v>0</v>
      </c>
      <c r="AB23" s="225">
        <f t="shared" ref="AB23:AB86" si="44">IF(AND(W23="No",X23="No"),MIN(Y23,Z23),0)</f>
        <v>0</v>
      </c>
      <c r="AC23" s="225">
        <f t="shared" ref="AC23:AC86" si="45">IF(AND(W23="No",X23="No"),MIN(Y23-AB23,AA23),0)</f>
        <v>0</v>
      </c>
      <c r="AD23" s="226">
        <f t="shared" si="13"/>
        <v>0</v>
      </c>
      <c r="AE23" s="225">
        <f t="shared" ref="AE23:AE86" si="46">IF(LEFT($W$7,1)="Y",AB23+AC23,0)</f>
        <v>0</v>
      </c>
      <c r="AF23" s="225">
        <f t="shared" ref="AF23:AF86" si="47">IF(LEFT($W$7,1)="M",AB23+AC23,0)</f>
        <v>0</v>
      </c>
      <c r="AG23" s="225">
        <f t="shared" ref="AG23:AG86" si="48">IF(LEFT($W$7,1)="A",AB23+AC23,0)</f>
        <v>0</v>
      </c>
      <c r="AH23" s="225">
        <f t="shared" ref="AH23:AH86" si="49">IF(LEFT($W$7,1)="L",AB23+AC23,0)</f>
        <v>0</v>
      </c>
    </row>
    <row r="24" spans="1:34" x14ac:dyDescent="0.2">
      <c r="A24" s="222">
        <v>2124</v>
      </c>
      <c r="B24" s="222">
        <v>2101</v>
      </c>
      <c r="C24" s="215">
        <f t="shared" si="30"/>
        <v>0</v>
      </c>
      <c r="D24" s="215">
        <f t="shared" si="31"/>
        <v>1200</v>
      </c>
      <c r="E24" s="215">
        <f t="shared" si="32"/>
        <v>0</v>
      </c>
      <c r="F24" s="215">
        <f t="shared" si="33"/>
        <v>300</v>
      </c>
      <c r="G24" s="217" t="str">
        <f t="shared" si="0"/>
        <v>No</v>
      </c>
      <c r="H24" s="217" t="str">
        <f t="shared" si="1"/>
        <v>No</v>
      </c>
      <c r="I24" s="217">
        <f>IF(AND('Data Entry'!D$2&gt;=Fermentation!B24,'Data Entry'!D$2&lt;=Fermentation!A24,G24="No",H24="No"),10,ROUND(I23*(1+I$116),0))</f>
        <v>0</v>
      </c>
      <c r="J24" s="217">
        <f t="shared" si="2"/>
        <v>1189</v>
      </c>
      <c r="K24" s="217">
        <f t="shared" si="3"/>
        <v>0</v>
      </c>
      <c r="L24" s="217">
        <f t="shared" si="34"/>
        <v>0</v>
      </c>
      <c r="M24" s="217">
        <f t="shared" si="35"/>
        <v>0</v>
      </c>
      <c r="N24" s="218">
        <f t="shared" si="6"/>
        <v>0</v>
      </c>
      <c r="O24" s="217">
        <f t="shared" si="36"/>
        <v>0</v>
      </c>
      <c r="P24" s="217">
        <f t="shared" si="37"/>
        <v>0</v>
      </c>
      <c r="Q24" s="217">
        <f t="shared" si="38"/>
        <v>0</v>
      </c>
      <c r="R24" s="217">
        <f t="shared" si="39"/>
        <v>0</v>
      </c>
      <c r="S24" s="242">
        <f t="shared" si="40"/>
        <v>0</v>
      </c>
      <c r="T24" s="215">
        <f t="shared" si="41"/>
        <v>1200</v>
      </c>
      <c r="U24" s="215">
        <f t="shared" si="42"/>
        <v>0</v>
      </c>
      <c r="V24" s="243">
        <f t="shared" si="43"/>
        <v>300</v>
      </c>
      <c r="W24" s="225" t="str">
        <f t="shared" si="7"/>
        <v>No</v>
      </c>
      <c r="X24" s="225" t="str">
        <f t="shared" si="8"/>
        <v>No</v>
      </c>
      <c r="Y24" s="225">
        <f>IF(AND('Data Entry'!D$3&gt;=Fermentation!B24,'Data Entry'!D$3&lt;=Fermentation!A24),10,ROUND(Y23*(1+Y$116),0))</f>
        <v>0</v>
      </c>
      <c r="Z24" s="225">
        <f t="shared" si="9"/>
        <v>1200</v>
      </c>
      <c r="AA24" s="225">
        <f t="shared" si="10"/>
        <v>0</v>
      </c>
      <c r="AB24" s="225">
        <f t="shared" si="44"/>
        <v>0</v>
      </c>
      <c r="AC24" s="225">
        <f t="shared" si="45"/>
        <v>0</v>
      </c>
      <c r="AD24" s="226">
        <f t="shared" si="13"/>
        <v>0</v>
      </c>
      <c r="AE24" s="225">
        <f t="shared" si="46"/>
        <v>0</v>
      </c>
      <c r="AF24" s="225">
        <f t="shared" si="47"/>
        <v>0</v>
      </c>
      <c r="AG24" s="225">
        <f t="shared" si="48"/>
        <v>0</v>
      </c>
      <c r="AH24" s="225">
        <f t="shared" si="49"/>
        <v>0</v>
      </c>
    </row>
    <row r="25" spans="1:34" x14ac:dyDescent="0.2">
      <c r="A25" s="222">
        <v>2100</v>
      </c>
      <c r="B25" s="222">
        <v>2077</v>
      </c>
      <c r="C25" s="215">
        <f t="shared" si="30"/>
        <v>0</v>
      </c>
      <c r="D25" s="215">
        <f t="shared" si="31"/>
        <v>1200</v>
      </c>
      <c r="E25" s="215">
        <f t="shared" si="32"/>
        <v>0</v>
      </c>
      <c r="F25" s="215">
        <f t="shared" si="33"/>
        <v>300</v>
      </c>
      <c r="G25" s="217" t="str">
        <f t="shared" si="0"/>
        <v>No</v>
      </c>
      <c r="H25" s="217" t="str">
        <f t="shared" si="1"/>
        <v>No</v>
      </c>
      <c r="I25" s="217">
        <f>IF(AND('Data Entry'!D$2&gt;=Fermentation!B25,'Data Entry'!D$2&lt;=Fermentation!A25,G25="No",H25="No"),10,ROUND(I24*(1+I$116),0))</f>
        <v>0</v>
      </c>
      <c r="J25" s="217">
        <f t="shared" si="2"/>
        <v>1189</v>
      </c>
      <c r="K25" s="217">
        <f t="shared" si="3"/>
        <v>0</v>
      </c>
      <c r="L25" s="217">
        <f t="shared" si="34"/>
        <v>0</v>
      </c>
      <c r="M25" s="217">
        <f t="shared" si="35"/>
        <v>0</v>
      </c>
      <c r="N25" s="218">
        <f t="shared" si="6"/>
        <v>0</v>
      </c>
      <c r="O25" s="217">
        <f t="shared" si="36"/>
        <v>0</v>
      </c>
      <c r="P25" s="217">
        <f t="shared" si="37"/>
        <v>0</v>
      </c>
      <c r="Q25" s="217">
        <f t="shared" si="38"/>
        <v>0</v>
      </c>
      <c r="R25" s="217">
        <f t="shared" si="39"/>
        <v>0</v>
      </c>
      <c r="S25" s="242">
        <f t="shared" si="40"/>
        <v>0</v>
      </c>
      <c r="T25" s="215">
        <f t="shared" si="41"/>
        <v>1200</v>
      </c>
      <c r="U25" s="215">
        <f t="shared" si="42"/>
        <v>0</v>
      </c>
      <c r="V25" s="243">
        <f t="shared" si="43"/>
        <v>300</v>
      </c>
      <c r="W25" s="225" t="str">
        <f t="shared" si="7"/>
        <v>No</v>
      </c>
      <c r="X25" s="225" t="str">
        <f t="shared" si="8"/>
        <v>No</v>
      </c>
      <c r="Y25" s="225">
        <f>IF(AND('Data Entry'!D$3&gt;=Fermentation!B25,'Data Entry'!D$3&lt;=Fermentation!A25),10,ROUND(Y24*(1+Y$116),0))</f>
        <v>0</v>
      </c>
      <c r="Z25" s="225">
        <f t="shared" si="9"/>
        <v>1200</v>
      </c>
      <c r="AA25" s="225">
        <f t="shared" si="10"/>
        <v>0</v>
      </c>
      <c r="AB25" s="225">
        <f t="shared" si="44"/>
        <v>0</v>
      </c>
      <c r="AC25" s="225">
        <f t="shared" si="45"/>
        <v>0</v>
      </c>
      <c r="AD25" s="226">
        <f t="shared" si="13"/>
        <v>0</v>
      </c>
      <c r="AE25" s="225">
        <f t="shared" si="46"/>
        <v>0</v>
      </c>
      <c r="AF25" s="225">
        <f t="shared" si="47"/>
        <v>0</v>
      </c>
      <c r="AG25" s="225">
        <f t="shared" si="48"/>
        <v>0</v>
      </c>
      <c r="AH25" s="225">
        <f t="shared" si="49"/>
        <v>0</v>
      </c>
    </row>
    <row r="26" spans="1:34" x14ac:dyDescent="0.2">
      <c r="A26" s="222">
        <v>2076</v>
      </c>
      <c r="B26" s="222">
        <v>2053</v>
      </c>
      <c r="C26" s="215">
        <f t="shared" si="30"/>
        <v>0</v>
      </c>
      <c r="D26" s="215">
        <f t="shared" si="31"/>
        <v>1200</v>
      </c>
      <c r="E26" s="215">
        <f t="shared" si="32"/>
        <v>0</v>
      </c>
      <c r="F26" s="215">
        <f t="shared" si="33"/>
        <v>300</v>
      </c>
      <c r="G26" s="217" t="str">
        <f t="shared" si="0"/>
        <v>No</v>
      </c>
      <c r="H26" s="217" t="str">
        <f t="shared" si="1"/>
        <v>No</v>
      </c>
      <c r="I26" s="217">
        <f>IF(AND('Data Entry'!D$2&gt;=Fermentation!B26,'Data Entry'!D$2&lt;=Fermentation!A26,G26="No",H26="No"),10,ROUND(I25*(1+I$116),0))</f>
        <v>0</v>
      </c>
      <c r="J26" s="217">
        <f t="shared" si="2"/>
        <v>1189</v>
      </c>
      <c r="K26" s="217">
        <f t="shared" si="3"/>
        <v>0</v>
      </c>
      <c r="L26" s="217">
        <f t="shared" si="34"/>
        <v>0</v>
      </c>
      <c r="M26" s="217">
        <f t="shared" si="35"/>
        <v>0</v>
      </c>
      <c r="N26" s="218">
        <f t="shared" si="6"/>
        <v>0</v>
      </c>
      <c r="O26" s="217">
        <f t="shared" si="36"/>
        <v>0</v>
      </c>
      <c r="P26" s="217">
        <f t="shared" si="37"/>
        <v>0</v>
      </c>
      <c r="Q26" s="217">
        <f t="shared" si="38"/>
        <v>0</v>
      </c>
      <c r="R26" s="217">
        <f t="shared" si="39"/>
        <v>0</v>
      </c>
      <c r="S26" s="242">
        <f t="shared" si="40"/>
        <v>0</v>
      </c>
      <c r="T26" s="215">
        <f t="shared" si="41"/>
        <v>1200</v>
      </c>
      <c r="U26" s="215">
        <f t="shared" si="42"/>
        <v>0</v>
      </c>
      <c r="V26" s="243">
        <f t="shared" si="43"/>
        <v>300</v>
      </c>
      <c r="W26" s="225" t="str">
        <f t="shared" si="7"/>
        <v>No</v>
      </c>
      <c r="X26" s="225" t="str">
        <f t="shared" si="8"/>
        <v>No</v>
      </c>
      <c r="Y26" s="225">
        <f>IF(AND('Data Entry'!D$3&gt;=Fermentation!B26,'Data Entry'!D$3&lt;=Fermentation!A26),10,ROUND(Y25*(1+Y$116),0))</f>
        <v>0</v>
      </c>
      <c r="Z26" s="225">
        <f t="shared" si="9"/>
        <v>1200</v>
      </c>
      <c r="AA26" s="225">
        <f t="shared" si="10"/>
        <v>0</v>
      </c>
      <c r="AB26" s="225">
        <f t="shared" si="44"/>
        <v>0</v>
      </c>
      <c r="AC26" s="225">
        <f t="shared" si="45"/>
        <v>0</v>
      </c>
      <c r="AD26" s="226">
        <f t="shared" si="13"/>
        <v>0</v>
      </c>
      <c r="AE26" s="225">
        <f t="shared" si="46"/>
        <v>0</v>
      </c>
      <c r="AF26" s="225">
        <f t="shared" si="47"/>
        <v>0</v>
      </c>
      <c r="AG26" s="225">
        <f t="shared" si="48"/>
        <v>0</v>
      </c>
      <c r="AH26" s="225">
        <f t="shared" si="49"/>
        <v>0</v>
      </c>
    </row>
    <row r="27" spans="1:34" x14ac:dyDescent="0.2">
      <c r="A27" s="222">
        <v>2052</v>
      </c>
      <c r="B27" s="222">
        <v>2029</v>
      </c>
      <c r="C27" s="215">
        <f t="shared" si="30"/>
        <v>0</v>
      </c>
      <c r="D27" s="215">
        <f t="shared" si="31"/>
        <v>1200</v>
      </c>
      <c r="E27" s="215">
        <f t="shared" si="32"/>
        <v>0</v>
      </c>
      <c r="F27" s="215">
        <f t="shared" si="33"/>
        <v>300</v>
      </c>
      <c r="G27" s="217" t="str">
        <f t="shared" si="0"/>
        <v>No</v>
      </c>
      <c r="H27" s="217" t="str">
        <f t="shared" si="1"/>
        <v>No</v>
      </c>
      <c r="I27" s="217">
        <f>IF(AND('Data Entry'!D$2&gt;=Fermentation!B27,'Data Entry'!D$2&lt;=Fermentation!A27,G27="No",H27="No"),10,ROUND(I26*(1+I$116),0))</f>
        <v>0</v>
      </c>
      <c r="J27" s="217">
        <f t="shared" si="2"/>
        <v>1189</v>
      </c>
      <c r="K27" s="217">
        <f t="shared" si="3"/>
        <v>0</v>
      </c>
      <c r="L27" s="217">
        <f t="shared" si="34"/>
        <v>0</v>
      </c>
      <c r="M27" s="217">
        <f t="shared" si="35"/>
        <v>0</v>
      </c>
      <c r="N27" s="218">
        <f t="shared" si="6"/>
        <v>0</v>
      </c>
      <c r="O27" s="217">
        <f t="shared" si="36"/>
        <v>0</v>
      </c>
      <c r="P27" s="217">
        <f t="shared" si="37"/>
        <v>0</v>
      </c>
      <c r="Q27" s="217">
        <f t="shared" si="38"/>
        <v>0</v>
      </c>
      <c r="R27" s="217">
        <f t="shared" si="39"/>
        <v>0</v>
      </c>
      <c r="S27" s="242">
        <f t="shared" si="40"/>
        <v>0</v>
      </c>
      <c r="T27" s="215">
        <f t="shared" si="41"/>
        <v>1200</v>
      </c>
      <c r="U27" s="215">
        <f t="shared" si="42"/>
        <v>0</v>
      </c>
      <c r="V27" s="243">
        <f t="shared" si="43"/>
        <v>300</v>
      </c>
      <c r="W27" s="225" t="str">
        <f t="shared" si="7"/>
        <v>No</v>
      </c>
      <c r="X27" s="225" t="str">
        <f t="shared" si="8"/>
        <v>No</v>
      </c>
      <c r="Y27" s="225">
        <f>IF(AND('Data Entry'!D$3&gt;=Fermentation!B27,'Data Entry'!D$3&lt;=Fermentation!A27),10,ROUND(Y26*(1+Y$116),0))</f>
        <v>0</v>
      </c>
      <c r="Z27" s="225">
        <f t="shared" si="9"/>
        <v>1200</v>
      </c>
      <c r="AA27" s="225">
        <f t="shared" si="10"/>
        <v>0</v>
      </c>
      <c r="AB27" s="225">
        <f t="shared" si="44"/>
        <v>0</v>
      </c>
      <c r="AC27" s="225">
        <f t="shared" si="45"/>
        <v>0</v>
      </c>
      <c r="AD27" s="226">
        <f t="shared" si="13"/>
        <v>0</v>
      </c>
      <c r="AE27" s="225">
        <f t="shared" si="46"/>
        <v>0</v>
      </c>
      <c r="AF27" s="225">
        <f t="shared" si="47"/>
        <v>0</v>
      </c>
      <c r="AG27" s="225">
        <f t="shared" si="48"/>
        <v>0</v>
      </c>
      <c r="AH27" s="225">
        <f t="shared" si="49"/>
        <v>0</v>
      </c>
    </row>
    <row r="28" spans="1:34" x14ac:dyDescent="0.2">
      <c r="A28" s="222">
        <v>2028</v>
      </c>
      <c r="B28" s="222">
        <v>2005</v>
      </c>
      <c r="C28" s="215">
        <f t="shared" si="30"/>
        <v>0</v>
      </c>
      <c r="D28" s="215">
        <f t="shared" si="31"/>
        <v>1200</v>
      </c>
      <c r="E28" s="215">
        <f t="shared" si="32"/>
        <v>0</v>
      </c>
      <c r="F28" s="215">
        <f t="shared" si="33"/>
        <v>300</v>
      </c>
      <c r="G28" s="217" t="str">
        <f t="shared" si="0"/>
        <v>No</v>
      </c>
      <c r="H28" s="217" t="str">
        <f t="shared" si="1"/>
        <v>No</v>
      </c>
      <c r="I28" s="217">
        <f>IF(AND('Data Entry'!D$2&gt;=Fermentation!B28,'Data Entry'!D$2&lt;=Fermentation!A28,G28="No",H28="No"),10,ROUND(I27*(1+I$116),0))</f>
        <v>0</v>
      </c>
      <c r="J28" s="217">
        <f t="shared" si="2"/>
        <v>1189</v>
      </c>
      <c r="K28" s="217">
        <f t="shared" si="3"/>
        <v>0</v>
      </c>
      <c r="L28" s="217">
        <f t="shared" si="34"/>
        <v>0</v>
      </c>
      <c r="M28" s="217">
        <f t="shared" si="35"/>
        <v>0</v>
      </c>
      <c r="N28" s="218">
        <f t="shared" si="6"/>
        <v>0</v>
      </c>
      <c r="O28" s="217">
        <f t="shared" si="36"/>
        <v>0</v>
      </c>
      <c r="P28" s="217">
        <f t="shared" si="37"/>
        <v>0</v>
      </c>
      <c r="Q28" s="217">
        <f t="shared" si="38"/>
        <v>0</v>
      </c>
      <c r="R28" s="217">
        <f t="shared" si="39"/>
        <v>0</v>
      </c>
      <c r="S28" s="242">
        <f t="shared" si="40"/>
        <v>0</v>
      </c>
      <c r="T28" s="215">
        <f t="shared" si="41"/>
        <v>1200</v>
      </c>
      <c r="U28" s="215">
        <f t="shared" si="42"/>
        <v>0</v>
      </c>
      <c r="V28" s="243">
        <f t="shared" si="43"/>
        <v>300</v>
      </c>
      <c r="W28" s="225" t="str">
        <f t="shared" si="7"/>
        <v>No</v>
      </c>
      <c r="X28" s="225" t="str">
        <f t="shared" si="8"/>
        <v>No</v>
      </c>
      <c r="Y28" s="225">
        <f>IF(AND('Data Entry'!D$3&gt;=Fermentation!B28,'Data Entry'!D$3&lt;=Fermentation!A28),10,ROUND(Y27*(1+Y$116),0))</f>
        <v>0</v>
      </c>
      <c r="Z28" s="225">
        <f t="shared" si="9"/>
        <v>1200</v>
      </c>
      <c r="AA28" s="225">
        <f t="shared" si="10"/>
        <v>0</v>
      </c>
      <c r="AB28" s="225">
        <f t="shared" si="44"/>
        <v>0</v>
      </c>
      <c r="AC28" s="225">
        <f t="shared" si="45"/>
        <v>0</v>
      </c>
      <c r="AD28" s="226">
        <f t="shared" si="13"/>
        <v>0</v>
      </c>
      <c r="AE28" s="225">
        <f t="shared" si="46"/>
        <v>0</v>
      </c>
      <c r="AF28" s="225">
        <f t="shared" si="47"/>
        <v>0</v>
      </c>
      <c r="AG28" s="225">
        <f t="shared" si="48"/>
        <v>0</v>
      </c>
      <c r="AH28" s="225">
        <f t="shared" si="49"/>
        <v>0</v>
      </c>
    </row>
    <row r="29" spans="1:34" x14ac:dyDescent="0.2">
      <c r="A29" s="222">
        <v>2004</v>
      </c>
      <c r="B29" s="222">
        <v>1981</v>
      </c>
      <c r="C29" s="215">
        <f t="shared" si="30"/>
        <v>0</v>
      </c>
      <c r="D29" s="215">
        <f t="shared" si="31"/>
        <v>1200</v>
      </c>
      <c r="E29" s="215">
        <f t="shared" si="32"/>
        <v>0</v>
      </c>
      <c r="F29" s="215">
        <f t="shared" si="33"/>
        <v>300</v>
      </c>
      <c r="G29" s="217" t="str">
        <f t="shared" si="0"/>
        <v>No</v>
      </c>
      <c r="H29" s="217" t="str">
        <f t="shared" si="1"/>
        <v>No</v>
      </c>
      <c r="I29" s="217">
        <f>IF(AND('Data Entry'!D$2&gt;=Fermentation!B29,'Data Entry'!D$2&lt;=Fermentation!A29,G29="No",H29="No"),10,ROUND(I28*(1+I$116),0))</f>
        <v>0</v>
      </c>
      <c r="J29" s="217">
        <f t="shared" si="2"/>
        <v>1189</v>
      </c>
      <c r="K29" s="217">
        <f t="shared" si="3"/>
        <v>0</v>
      </c>
      <c r="L29" s="217">
        <f t="shared" si="34"/>
        <v>0</v>
      </c>
      <c r="M29" s="217">
        <f t="shared" si="35"/>
        <v>0</v>
      </c>
      <c r="N29" s="218">
        <f t="shared" si="6"/>
        <v>0</v>
      </c>
      <c r="O29" s="217">
        <f t="shared" si="36"/>
        <v>0</v>
      </c>
      <c r="P29" s="217">
        <f t="shared" si="37"/>
        <v>0</v>
      </c>
      <c r="Q29" s="217">
        <f t="shared" si="38"/>
        <v>0</v>
      </c>
      <c r="R29" s="217">
        <f t="shared" si="39"/>
        <v>0</v>
      </c>
      <c r="S29" s="242">
        <f t="shared" si="40"/>
        <v>0</v>
      </c>
      <c r="T29" s="215">
        <f t="shared" si="41"/>
        <v>1200</v>
      </c>
      <c r="U29" s="215">
        <f t="shared" si="42"/>
        <v>0</v>
      </c>
      <c r="V29" s="243">
        <f t="shared" si="43"/>
        <v>300</v>
      </c>
      <c r="W29" s="225" t="str">
        <f t="shared" si="7"/>
        <v>No</v>
      </c>
      <c r="X29" s="225" t="str">
        <f t="shared" si="8"/>
        <v>No</v>
      </c>
      <c r="Y29" s="225">
        <f>IF(AND('Data Entry'!D$3&gt;=Fermentation!B29,'Data Entry'!D$3&lt;=Fermentation!A29),10,ROUND(Y28*(1+Y$116),0))</f>
        <v>0</v>
      </c>
      <c r="Z29" s="225">
        <f t="shared" si="9"/>
        <v>1200</v>
      </c>
      <c r="AA29" s="225">
        <f t="shared" si="10"/>
        <v>0</v>
      </c>
      <c r="AB29" s="225">
        <f t="shared" si="44"/>
        <v>0</v>
      </c>
      <c r="AC29" s="225">
        <f t="shared" si="45"/>
        <v>0</v>
      </c>
      <c r="AD29" s="226">
        <f t="shared" si="13"/>
        <v>0</v>
      </c>
      <c r="AE29" s="225">
        <f t="shared" si="46"/>
        <v>0</v>
      </c>
      <c r="AF29" s="225">
        <f t="shared" si="47"/>
        <v>0</v>
      </c>
      <c r="AG29" s="225">
        <f t="shared" si="48"/>
        <v>0</v>
      </c>
      <c r="AH29" s="225">
        <f t="shared" si="49"/>
        <v>0</v>
      </c>
    </row>
    <row r="30" spans="1:34" x14ac:dyDescent="0.2">
      <c r="A30" s="222">
        <v>1980</v>
      </c>
      <c r="B30" s="222">
        <v>1957</v>
      </c>
      <c r="C30" s="215">
        <f t="shared" si="30"/>
        <v>0</v>
      </c>
      <c r="D30" s="215">
        <f t="shared" si="31"/>
        <v>1200</v>
      </c>
      <c r="E30" s="215">
        <f t="shared" si="32"/>
        <v>0</v>
      </c>
      <c r="F30" s="215">
        <f t="shared" si="33"/>
        <v>300</v>
      </c>
      <c r="G30" s="217" t="str">
        <f t="shared" si="0"/>
        <v>No</v>
      </c>
      <c r="H30" s="217" t="str">
        <f t="shared" si="1"/>
        <v>No</v>
      </c>
      <c r="I30" s="217">
        <f>IF(AND('Data Entry'!D$2&gt;=Fermentation!B30,'Data Entry'!D$2&lt;=Fermentation!A30,G30="No",H30="No"),10,ROUND(I29*(1+I$116),0))</f>
        <v>0</v>
      </c>
      <c r="J30" s="217">
        <f t="shared" si="2"/>
        <v>1189</v>
      </c>
      <c r="K30" s="217">
        <f t="shared" si="3"/>
        <v>0</v>
      </c>
      <c r="L30" s="217">
        <f t="shared" si="34"/>
        <v>0</v>
      </c>
      <c r="M30" s="217">
        <f t="shared" si="35"/>
        <v>0</v>
      </c>
      <c r="N30" s="218">
        <f t="shared" si="6"/>
        <v>0</v>
      </c>
      <c r="O30" s="217">
        <f t="shared" si="36"/>
        <v>0</v>
      </c>
      <c r="P30" s="217">
        <f t="shared" si="37"/>
        <v>0</v>
      </c>
      <c r="Q30" s="217">
        <f t="shared" si="38"/>
        <v>0</v>
      </c>
      <c r="R30" s="217">
        <f t="shared" si="39"/>
        <v>0</v>
      </c>
      <c r="S30" s="242">
        <f t="shared" si="40"/>
        <v>0</v>
      </c>
      <c r="T30" s="215">
        <f t="shared" si="41"/>
        <v>1200</v>
      </c>
      <c r="U30" s="215">
        <f t="shared" si="42"/>
        <v>0</v>
      </c>
      <c r="V30" s="243">
        <f t="shared" si="43"/>
        <v>300</v>
      </c>
      <c r="W30" s="225" t="str">
        <f t="shared" si="7"/>
        <v>No</v>
      </c>
      <c r="X30" s="225" t="str">
        <f t="shared" si="8"/>
        <v>No</v>
      </c>
      <c r="Y30" s="225">
        <f>IF(AND('Data Entry'!D$3&gt;=Fermentation!B30,'Data Entry'!D$3&lt;=Fermentation!A30),10,ROUND(Y29*(1+Y$116),0))</f>
        <v>0</v>
      </c>
      <c r="Z30" s="225">
        <f t="shared" si="9"/>
        <v>1200</v>
      </c>
      <c r="AA30" s="225">
        <f t="shared" si="10"/>
        <v>0</v>
      </c>
      <c r="AB30" s="225">
        <f t="shared" si="44"/>
        <v>0</v>
      </c>
      <c r="AC30" s="225">
        <f t="shared" si="45"/>
        <v>0</v>
      </c>
      <c r="AD30" s="226">
        <f t="shared" si="13"/>
        <v>0</v>
      </c>
      <c r="AE30" s="225">
        <f t="shared" si="46"/>
        <v>0</v>
      </c>
      <c r="AF30" s="225">
        <f t="shared" si="47"/>
        <v>0</v>
      </c>
      <c r="AG30" s="225">
        <f t="shared" si="48"/>
        <v>0</v>
      </c>
      <c r="AH30" s="225">
        <f t="shared" si="49"/>
        <v>0</v>
      </c>
    </row>
    <row r="31" spans="1:34" x14ac:dyDescent="0.2">
      <c r="A31" s="222">
        <v>1956</v>
      </c>
      <c r="B31" s="222">
        <v>1933</v>
      </c>
      <c r="C31" s="215">
        <f t="shared" si="30"/>
        <v>0</v>
      </c>
      <c r="D31" s="215">
        <f t="shared" si="31"/>
        <v>1200</v>
      </c>
      <c r="E31" s="215">
        <f t="shared" si="32"/>
        <v>0</v>
      </c>
      <c r="F31" s="215">
        <f t="shared" si="33"/>
        <v>300</v>
      </c>
      <c r="G31" s="217" t="str">
        <f t="shared" si="0"/>
        <v>No</v>
      </c>
      <c r="H31" s="217" t="str">
        <f t="shared" si="1"/>
        <v>No</v>
      </c>
      <c r="I31" s="217">
        <f>IF(AND('Data Entry'!D$2&gt;=Fermentation!B31,'Data Entry'!D$2&lt;=Fermentation!A31,G31="No",H31="No"),10,ROUND(I30*(1+I$116),0))</f>
        <v>0</v>
      </c>
      <c r="J31" s="217">
        <f t="shared" si="2"/>
        <v>1189</v>
      </c>
      <c r="K31" s="217">
        <f t="shared" si="3"/>
        <v>0</v>
      </c>
      <c r="L31" s="217">
        <f t="shared" si="34"/>
        <v>0</v>
      </c>
      <c r="M31" s="217">
        <f t="shared" si="35"/>
        <v>0</v>
      </c>
      <c r="N31" s="218">
        <f t="shared" si="6"/>
        <v>0</v>
      </c>
      <c r="O31" s="217">
        <f t="shared" si="36"/>
        <v>0</v>
      </c>
      <c r="P31" s="217">
        <f t="shared" si="37"/>
        <v>0</v>
      </c>
      <c r="Q31" s="217">
        <f t="shared" si="38"/>
        <v>0</v>
      </c>
      <c r="R31" s="217">
        <f t="shared" si="39"/>
        <v>0</v>
      </c>
      <c r="S31" s="242">
        <f t="shared" si="40"/>
        <v>0</v>
      </c>
      <c r="T31" s="215">
        <f t="shared" si="41"/>
        <v>1200</v>
      </c>
      <c r="U31" s="215">
        <f t="shared" si="42"/>
        <v>0</v>
      </c>
      <c r="V31" s="243">
        <f t="shared" si="43"/>
        <v>300</v>
      </c>
      <c r="W31" s="225" t="str">
        <f t="shared" si="7"/>
        <v>No</v>
      </c>
      <c r="X31" s="225" t="str">
        <f t="shared" si="8"/>
        <v>No</v>
      </c>
      <c r="Y31" s="225">
        <f>IF(AND('Data Entry'!D$3&gt;=Fermentation!B31,'Data Entry'!D$3&lt;=Fermentation!A31),10,ROUND(Y30*(1+Y$116),0))</f>
        <v>0</v>
      </c>
      <c r="Z31" s="225">
        <f t="shared" si="9"/>
        <v>1200</v>
      </c>
      <c r="AA31" s="225">
        <f t="shared" si="10"/>
        <v>0</v>
      </c>
      <c r="AB31" s="225">
        <f t="shared" si="44"/>
        <v>0</v>
      </c>
      <c r="AC31" s="225">
        <f t="shared" si="45"/>
        <v>0</v>
      </c>
      <c r="AD31" s="226">
        <f t="shared" si="13"/>
        <v>0</v>
      </c>
      <c r="AE31" s="225">
        <f t="shared" si="46"/>
        <v>0</v>
      </c>
      <c r="AF31" s="225">
        <f t="shared" si="47"/>
        <v>0</v>
      </c>
      <c r="AG31" s="225">
        <f t="shared" si="48"/>
        <v>0</v>
      </c>
      <c r="AH31" s="225">
        <f t="shared" si="49"/>
        <v>0</v>
      </c>
    </row>
    <row r="32" spans="1:34" x14ac:dyDescent="0.2">
      <c r="A32" s="222">
        <v>1932</v>
      </c>
      <c r="B32" s="222">
        <v>1909</v>
      </c>
      <c r="C32" s="215">
        <f t="shared" si="30"/>
        <v>0</v>
      </c>
      <c r="D32" s="215">
        <f t="shared" si="31"/>
        <v>1200</v>
      </c>
      <c r="E32" s="215">
        <f t="shared" si="32"/>
        <v>0</v>
      </c>
      <c r="F32" s="215">
        <f t="shared" si="33"/>
        <v>300</v>
      </c>
      <c r="G32" s="217" t="str">
        <f t="shared" si="0"/>
        <v>No</v>
      </c>
      <c r="H32" s="217" t="str">
        <f t="shared" si="1"/>
        <v>No</v>
      </c>
      <c r="I32" s="217">
        <f>IF(AND('Data Entry'!D$2&gt;=Fermentation!B32,'Data Entry'!D$2&lt;=Fermentation!A32,G32="No",H32="No"),10,ROUND(I31*(1+I$116),0))</f>
        <v>0</v>
      </c>
      <c r="J32" s="217">
        <f t="shared" si="2"/>
        <v>1189</v>
      </c>
      <c r="K32" s="217">
        <f t="shared" si="3"/>
        <v>0</v>
      </c>
      <c r="L32" s="217">
        <f t="shared" si="34"/>
        <v>0</v>
      </c>
      <c r="M32" s="217">
        <f t="shared" si="35"/>
        <v>0</v>
      </c>
      <c r="N32" s="218">
        <f t="shared" si="6"/>
        <v>0</v>
      </c>
      <c r="O32" s="217">
        <f t="shared" si="36"/>
        <v>0</v>
      </c>
      <c r="P32" s="217">
        <f t="shared" si="37"/>
        <v>0</v>
      </c>
      <c r="Q32" s="217">
        <f t="shared" si="38"/>
        <v>0</v>
      </c>
      <c r="R32" s="217">
        <f t="shared" si="39"/>
        <v>0</v>
      </c>
      <c r="S32" s="242">
        <f t="shared" si="40"/>
        <v>0</v>
      </c>
      <c r="T32" s="215">
        <f t="shared" si="41"/>
        <v>1200</v>
      </c>
      <c r="U32" s="215">
        <f t="shared" si="42"/>
        <v>0</v>
      </c>
      <c r="V32" s="243">
        <f t="shared" si="43"/>
        <v>300</v>
      </c>
      <c r="W32" s="225" t="str">
        <f t="shared" si="7"/>
        <v>No</v>
      </c>
      <c r="X32" s="225" t="str">
        <f t="shared" si="8"/>
        <v>No</v>
      </c>
      <c r="Y32" s="225">
        <f>IF(AND('Data Entry'!D$3&gt;=Fermentation!B32,'Data Entry'!D$3&lt;=Fermentation!A32),10,ROUND(Y31*(1+Y$116),0))</f>
        <v>0</v>
      </c>
      <c r="Z32" s="225">
        <f t="shared" si="9"/>
        <v>1200</v>
      </c>
      <c r="AA32" s="225">
        <f t="shared" si="10"/>
        <v>0</v>
      </c>
      <c r="AB32" s="225">
        <f t="shared" si="44"/>
        <v>0</v>
      </c>
      <c r="AC32" s="225">
        <f t="shared" si="45"/>
        <v>0</v>
      </c>
      <c r="AD32" s="226">
        <f t="shared" si="13"/>
        <v>0</v>
      </c>
      <c r="AE32" s="225">
        <f t="shared" si="46"/>
        <v>0</v>
      </c>
      <c r="AF32" s="225">
        <f t="shared" si="47"/>
        <v>0</v>
      </c>
      <c r="AG32" s="225">
        <f t="shared" si="48"/>
        <v>0</v>
      </c>
      <c r="AH32" s="225">
        <f t="shared" si="49"/>
        <v>0</v>
      </c>
    </row>
    <row r="33" spans="1:34" x14ac:dyDescent="0.2">
      <c r="A33" s="222">
        <v>1908</v>
      </c>
      <c r="B33" s="222">
        <v>1885</v>
      </c>
      <c r="C33" s="215">
        <f t="shared" si="30"/>
        <v>0</v>
      </c>
      <c r="D33" s="215">
        <f t="shared" si="31"/>
        <v>1200</v>
      </c>
      <c r="E33" s="215">
        <f t="shared" si="32"/>
        <v>0</v>
      </c>
      <c r="F33" s="215">
        <f t="shared" si="33"/>
        <v>300</v>
      </c>
      <c r="G33" s="217" t="str">
        <f t="shared" si="0"/>
        <v>No</v>
      </c>
      <c r="H33" s="217" t="str">
        <f t="shared" si="1"/>
        <v>No</v>
      </c>
      <c r="I33" s="217">
        <f>IF(AND('Data Entry'!D$2&gt;=Fermentation!B33,'Data Entry'!D$2&lt;=Fermentation!A33,G33="No",H33="No"),10,ROUND(I32*(1+I$116),0))</f>
        <v>0</v>
      </c>
      <c r="J33" s="217">
        <f t="shared" si="2"/>
        <v>1189</v>
      </c>
      <c r="K33" s="217">
        <f t="shared" si="3"/>
        <v>0</v>
      </c>
      <c r="L33" s="217">
        <f t="shared" si="34"/>
        <v>0</v>
      </c>
      <c r="M33" s="217">
        <f t="shared" si="35"/>
        <v>0</v>
      </c>
      <c r="N33" s="218">
        <f t="shared" si="6"/>
        <v>0</v>
      </c>
      <c r="O33" s="217">
        <f t="shared" si="36"/>
        <v>0</v>
      </c>
      <c r="P33" s="217">
        <f t="shared" si="37"/>
        <v>0</v>
      </c>
      <c r="Q33" s="217">
        <f t="shared" si="38"/>
        <v>0</v>
      </c>
      <c r="R33" s="217">
        <f t="shared" si="39"/>
        <v>0</v>
      </c>
      <c r="S33" s="242">
        <f t="shared" si="40"/>
        <v>0</v>
      </c>
      <c r="T33" s="215">
        <f t="shared" si="41"/>
        <v>1200</v>
      </c>
      <c r="U33" s="215">
        <f t="shared" si="42"/>
        <v>0</v>
      </c>
      <c r="V33" s="243">
        <f t="shared" si="43"/>
        <v>300</v>
      </c>
      <c r="W33" s="225" t="str">
        <f t="shared" si="7"/>
        <v>No</v>
      </c>
      <c r="X33" s="225" t="str">
        <f t="shared" si="8"/>
        <v>No</v>
      </c>
      <c r="Y33" s="225">
        <f>IF(AND('Data Entry'!D$3&gt;=Fermentation!B33,'Data Entry'!D$3&lt;=Fermentation!A33),10,ROUND(Y32*(1+Y$116),0))</f>
        <v>0</v>
      </c>
      <c r="Z33" s="225">
        <f t="shared" si="9"/>
        <v>1200</v>
      </c>
      <c r="AA33" s="225">
        <f t="shared" si="10"/>
        <v>0</v>
      </c>
      <c r="AB33" s="225">
        <f t="shared" si="44"/>
        <v>0</v>
      </c>
      <c r="AC33" s="225">
        <f t="shared" si="45"/>
        <v>0</v>
      </c>
      <c r="AD33" s="226">
        <f t="shared" si="13"/>
        <v>0</v>
      </c>
      <c r="AE33" s="225">
        <f t="shared" si="46"/>
        <v>0</v>
      </c>
      <c r="AF33" s="225">
        <f t="shared" si="47"/>
        <v>0</v>
      </c>
      <c r="AG33" s="225">
        <f t="shared" si="48"/>
        <v>0</v>
      </c>
      <c r="AH33" s="225">
        <f t="shared" si="49"/>
        <v>0</v>
      </c>
    </row>
    <row r="34" spans="1:34" x14ac:dyDescent="0.2">
      <c r="A34" s="222">
        <v>1884</v>
      </c>
      <c r="B34" s="222">
        <v>1861</v>
      </c>
      <c r="C34" s="215">
        <f t="shared" si="30"/>
        <v>0</v>
      </c>
      <c r="D34" s="215">
        <f t="shared" si="31"/>
        <v>1200</v>
      </c>
      <c r="E34" s="215">
        <f t="shared" si="32"/>
        <v>0</v>
      </c>
      <c r="F34" s="215">
        <f t="shared" si="33"/>
        <v>300</v>
      </c>
      <c r="G34" s="217" t="str">
        <f t="shared" si="0"/>
        <v>No</v>
      </c>
      <c r="H34" s="217" t="str">
        <f t="shared" si="1"/>
        <v>No</v>
      </c>
      <c r="I34" s="217">
        <f>IF(AND('Data Entry'!D$2&gt;=Fermentation!B34,'Data Entry'!D$2&lt;=Fermentation!A34,G34="No",H34="No"),10,ROUND(I33*(1+I$116),0))</f>
        <v>0</v>
      </c>
      <c r="J34" s="217">
        <f t="shared" si="2"/>
        <v>1189</v>
      </c>
      <c r="K34" s="217">
        <f t="shared" si="3"/>
        <v>0</v>
      </c>
      <c r="L34" s="217">
        <f t="shared" si="34"/>
        <v>0</v>
      </c>
      <c r="M34" s="217">
        <f t="shared" si="35"/>
        <v>0</v>
      </c>
      <c r="N34" s="218">
        <f t="shared" si="6"/>
        <v>0</v>
      </c>
      <c r="O34" s="217">
        <f t="shared" si="36"/>
        <v>0</v>
      </c>
      <c r="P34" s="217">
        <f t="shared" si="37"/>
        <v>0</v>
      </c>
      <c r="Q34" s="217">
        <f t="shared" si="38"/>
        <v>0</v>
      </c>
      <c r="R34" s="217">
        <f t="shared" si="39"/>
        <v>0</v>
      </c>
      <c r="S34" s="242">
        <f t="shared" si="40"/>
        <v>0</v>
      </c>
      <c r="T34" s="215">
        <f t="shared" si="41"/>
        <v>1200</v>
      </c>
      <c r="U34" s="215">
        <f t="shared" si="42"/>
        <v>0</v>
      </c>
      <c r="V34" s="243">
        <f t="shared" si="43"/>
        <v>300</v>
      </c>
      <c r="W34" s="225" t="str">
        <f t="shared" si="7"/>
        <v>No</v>
      </c>
      <c r="X34" s="225" t="str">
        <f t="shared" si="8"/>
        <v>No</v>
      </c>
      <c r="Y34" s="225">
        <f>IF(AND('Data Entry'!D$3&gt;=Fermentation!B34,'Data Entry'!D$3&lt;=Fermentation!A34),10,ROUND(Y33*(1+Y$116),0))</f>
        <v>0</v>
      </c>
      <c r="Z34" s="225">
        <f t="shared" si="9"/>
        <v>1200</v>
      </c>
      <c r="AA34" s="225">
        <f t="shared" si="10"/>
        <v>0</v>
      </c>
      <c r="AB34" s="225">
        <f t="shared" si="44"/>
        <v>0</v>
      </c>
      <c r="AC34" s="225">
        <f t="shared" si="45"/>
        <v>0</v>
      </c>
      <c r="AD34" s="226">
        <f t="shared" si="13"/>
        <v>0</v>
      </c>
      <c r="AE34" s="225">
        <f t="shared" si="46"/>
        <v>0</v>
      </c>
      <c r="AF34" s="225">
        <f t="shared" si="47"/>
        <v>0</v>
      </c>
      <c r="AG34" s="225">
        <f t="shared" si="48"/>
        <v>0</v>
      </c>
      <c r="AH34" s="225">
        <f t="shared" si="49"/>
        <v>0</v>
      </c>
    </row>
    <row r="35" spans="1:34" x14ac:dyDescent="0.2">
      <c r="A35" s="222">
        <v>1860</v>
      </c>
      <c r="B35" s="222">
        <v>1837</v>
      </c>
      <c r="C35" s="215">
        <f t="shared" si="30"/>
        <v>0</v>
      </c>
      <c r="D35" s="215">
        <f t="shared" si="31"/>
        <v>1200</v>
      </c>
      <c r="E35" s="215">
        <f t="shared" si="32"/>
        <v>0</v>
      </c>
      <c r="F35" s="215">
        <f t="shared" si="33"/>
        <v>300</v>
      </c>
      <c r="G35" s="217" t="str">
        <f t="shared" si="0"/>
        <v>No</v>
      </c>
      <c r="H35" s="217" t="str">
        <f t="shared" si="1"/>
        <v>No</v>
      </c>
      <c r="I35" s="217">
        <f>IF(AND('Data Entry'!D$2&gt;=Fermentation!B35,'Data Entry'!D$2&lt;=Fermentation!A35,G35="No",H35="No"),10,ROUND(I34*(1+I$116),0))</f>
        <v>0</v>
      </c>
      <c r="J35" s="217">
        <f t="shared" si="2"/>
        <v>1189</v>
      </c>
      <c r="K35" s="217">
        <f t="shared" si="3"/>
        <v>0</v>
      </c>
      <c r="L35" s="217">
        <f t="shared" si="34"/>
        <v>0</v>
      </c>
      <c r="M35" s="217">
        <f t="shared" si="35"/>
        <v>0</v>
      </c>
      <c r="N35" s="218">
        <f t="shared" si="6"/>
        <v>0</v>
      </c>
      <c r="O35" s="217">
        <f t="shared" si="36"/>
        <v>0</v>
      </c>
      <c r="P35" s="217">
        <f t="shared" si="37"/>
        <v>0</v>
      </c>
      <c r="Q35" s="217">
        <f t="shared" si="38"/>
        <v>0</v>
      </c>
      <c r="R35" s="217">
        <f t="shared" si="39"/>
        <v>0</v>
      </c>
      <c r="S35" s="242">
        <f t="shared" si="40"/>
        <v>0</v>
      </c>
      <c r="T35" s="215">
        <f t="shared" si="41"/>
        <v>1200</v>
      </c>
      <c r="U35" s="215">
        <f t="shared" si="42"/>
        <v>0</v>
      </c>
      <c r="V35" s="243">
        <f t="shared" si="43"/>
        <v>300</v>
      </c>
      <c r="W35" s="225" t="str">
        <f t="shared" si="7"/>
        <v>No</v>
      </c>
      <c r="X35" s="225" t="str">
        <f t="shared" si="8"/>
        <v>No</v>
      </c>
      <c r="Y35" s="225">
        <f>IF(AND('Data Entry'!D$3&gt;=Fermentation!B35,'Data Entry'!D$3&lt;=Fermentation!A35),10,ROUND(Y34*(1+Y$116),0))</f>
        <v>0</v>
      </c>
      <c r="Z35" s="225">
        <f t="shared" si="9"/>
        <v>1200</v>
      </c>
      <c r="AA35" s="225">
        <f t="shared" si="10"/>
        <v>0</v>
      </c>
      <c r="AB35" s="225">
        <f t="shared" si="44"/>
        <v>0</v>
      </c>
      <c r="AC35" s="225">
        <f t="shared" si="45"/>
        <v>0</v>
      </c>
      <c r="AD35" s="226">
        <f t="shared" si="13"/>
        <v>0</v>
      </c>
      <c r="AE35" s="225">
        <f t="shared" si="46"/>
        <v>0</v>
      </c>
      <c r="AF35" s="225">
        <f t="shared" si="47"/>
        <v>0</v>
      </c>
      <c r="AG35" s="225">
        <f t="shared" si="48"/>
        <v>0</v>
      </c>
      <c r="AH35" s="225">
        <f t="shared" si="49"/>
        <v>0</v>
      </c>
    </row>
    <row r="36" spans="1:34" x14ac:dyDescent="0.2">
      <c r="A36" s="222">
        <v>1836</v>
      </c>
      <c r="B36" s="222">
        <v>1813</v>
      </c>
      <c r="C36" s="215">
        <f t="shared" si="30"/>
        <v>0</v>
      </c>
      <c r="D36" s="215">
        <f t="shared" si="31"/>
        <v>1200</v>
      </c>
      <c r="E36" s="215">
        <f t="shared" si="32"/>
        <v>0</v>
      </c>
      <c r="F36" s="215">
        <f t="shared" si="33"/>
        <v>300</v>
      </c>
      <c r="G36" s="217" t="str">
        <f t="shared" si="0"/>
        <v>No</v>
      </c>
      <c r="H36" s="217" t="str">
        <f t="shared" si="1"/>
        <v>No</v>
      </c>
      <c r="I36" s="217">
        <f>IF(AND('Data Entry'!D$2&gt;=Fermentation!B36,'Data Entry'!D$2&lt;=Fermentation!A36,G36="No",H36="No"),10,ROUND(I35*(1+I$116),0))</f>
        <v>0</v>
      </c>
      <c r="J36" s="217">
        <f t="shared" si="2"/>
        <v>1189</v>
      </c>
      <c r="K36" s="217">
        <f t="shared" si="3"/>
        <v>0</v>
      </c>
      <c r="L36" s="217">
        <f t="shared" si="34"/>
        <v>0</v>
      </c>
      <c r="M36" s="217">
        <f t="shared" si="35"/>
        <v>0</v>
      </c>
      <c r="N36" s="218">
        <f t="shared" si="6"/>
        <v>0</v>
      </c>
      <c r="O36" s="217">
        <f t="shared" si="36"/>
        <v>0</v>
      </c>
      <c r="P36" s="217">
        <f t="shared" si="37"/>
        <v>0</v>
      </c>
      <c r="Q36" s="217">
        <f t="shared" si="38"/>
        <v>0</v>
      </c>
      <c r="R36" s="217">
        <f t="shared" si="39"/>
        <v>0</v>
      </c>
      <c r="S36" s="242">
        <f t="shared" si="40"/>
        <v>0</v>
      </c>
      <c r="T36" s="215">
        <f t="shared" si="41"/>
        <v>1200</v>
      </c>
      <c r="U36" s="215">
        <f t="shared" si="42"/>
        <v>0</v>
      </c>
      <c r="V36" s="243">
        <f t="shared" si="43"/>
        <v>300</v>
      </c>
      <c r="W36" s="225" t="str">
        <f t="shared" si="7"/>
        <v>No</v>
      </c>
      <c r="X36" s="225" t="str">
        <f t="shared" si="8"/>
        <v>No</v>
      </c>
      <c r="Y36" s="225">
        <f>IF(AND('Data Entry'!D$3&gt;=Fermentation!B36,'Data Entry'!D$3&lt;=Fermentation!A36),10,ROUND(Y35*(1+Y$116),0))</f>
        <v>0</v>
      </c>
      <c r="Z36" s="225">
        <f t="shared" si="9"/>
        <v>1200</v>
      </c>
      <c r="AA36" s="225">
        <f t="shared" si="10"/>
        <v>0</v>
      </c>
      <c r="AB36" s="225">
        <f t="shared" si="44"/>
        <v>0</v>
      </c>
      <c r="AC36" s="225">
        <f t="shared" si="45"/>
        <v>0</v>
      </c>
      <c r="AD36" s="226">
        <f t="shared" si="13"/>
        <v>0</v>
      </c>
      <c r="AE36" s="225">
        <f t="shared" si="46"/>
        <v>0</v>
      </c>
      <c r="AF36" s="225">
        <f t="shared" si="47"/>
        <v>0</v>
      </c>
      <c r="AG36" s="225">
        <f t="shared" si="48"/>
        <v>0</v>
      </c>
      <c r="AH36" s="225">
        <f t="shared" si="49"/>
        <v>0</v>
      </c>
    </row>
    <row r="37" spans="1:34" x14ac:dyDescent="0.2">
      <c r="A37" s="222">
        <v>1812</v>
      </c>
      <c r="B37" s="222">
        <v>1789</v>
      </c>
      <c r="C37" s="215">
        <f t="shared" si="30"/>
        <v>0</v>
      </c>
      <c r="D37" s="215">
        <f t="shared" si="31"/>
        <v>1200</v>
      </c>
      <c r="E37" s="215">
        <f t="shared" si="32"/>
        <v>0</v>
      </c>
      <c r="F37" s="215">
        <f t="shared" si="33"/>
        <v>300</v>
      </c>
      <c r="G37" s="217" t="str">
        <f t="shared" si="0"/>
        <v>No</v>
      </c>
      <c r="H37" s="217" t="str">
        <f t="shared" si="1"/>
        <v>No</v>
      </c>
      <c r="I37" s="217">
        <f>IF(AND('Data Entry'!D$2&gt;=Fermentation!B37,'Data Entry'!D$2&lt;=Fermentation!A37,G37="No",H37="No"),10,ROUND(I36*(1+I$116),0))</f>
        <v>0</v>
      </c>
      <c r="J37" s="217">
        <f t="shared" si="2"/>
        <v>1189</v>
      </c>
      <c r="K37" s="217">
        <f t="shared" si="3"/>
        <v>0</v>
      </c>
      <c r="L37" s="217">
        <f t="shared" si="34"/>
        <v>0</v>
      </c>
      <c r="M37" s="217">
        <f t="shared" si="35"/>
        <v>0</v>
      </c>
      <c r="N37" s="218">
        <f t="shared" si="6"/>
        <v>0</v>
      </c>
      <c r="O37" s="217">
        <f t="shared" si="36"/>
        <v>0</v>
      </c>
      <c r="P37" s="217">
        <f t="shared" si="37"/>
        <v>0</v>
      </c>
      <c r="Q37" s="217">
        <f t="shared" si="38"/>
        <v>0</v>
      </c>
      <c r="R37" s="217">
        <f t="shared" si="39"/>
        <v>0</v>
      </c>
      <c r="S37" s="242">
        <f t="shared" si="40"/>
        <v>0</v>
      </c>
      <c r="T37" s="215">
        <f t="shared" si="41"/>
        <v>1200</v>
      </c>
      <c r="U37" s="215">
        <f t="shared" si="42"/>
        <v>0</v>
      </c>
      <c r="V37" s="243">
        <f t="shared" si="43"/>
        <v>300</v>
      </c>
      <c r="W37" s="225" t="str">
        <f t="shared" si="7"/>
        <v>No</v>
      </c>
      <c r="X37" s="225" t="str">
        <f t="shared" si="8"/>
        <v>No</v>
      </c>
      <c r="Y37" s="225">
        <f>IF(AND('Data Entry'!D$3&gt;=Fermentation!B37,'Data Entry'!D$3&lt;=Fermentation!A37),10,ROUND(Y36*(1+Y$116),0))</f>
        <v>0</v>
      </c>
      <c r="Z37" s="225">
        <f t="shared" si="9"/>
        <v>1200</v>
      </c>
      <c r="AA37" s="225">
        <f t="shared" si="10"/>
        <v>0</v>
      </c>
      <c r="AB37" s="225">
        <f t="shared" si="44"/>
        <v>0</v>
      </c>
      <c r="AC37" s="225">
        <f t="shared" si="45"/>
        <v>0</v>
      </c>
      <c r="AD37" s="226">
        <f t="shared" si="13"/>
        <v>0</v>
      </c>
      <c r="AE37" s="225">
        <f t="shared" si="46"/>
        <v>0</v>
      </c>
      <c r="AF37" s="225">
        <f t="shared" si="47"/>
        <v>0</v>
      </c>
      <c r="AG37" s="225">
        <f t="shared" si="48"/>
        <v>0</v>
      </c>
      <c r="AH37" s="225">
        <f t="shared" si="49"/>
        <v>0</v>
      </c>
    </row>
    <row r="38" spans="1:34" x14ac:dyDescent="0.2">
      <c r="A38" s="222">
        <v>1788</v>
      </c>
      <c r="B38" s="222">
        <v>1765</v>
      </c>
      <c r="C38" s="215">
        <f t="shared" si="30"/>
        <v>0</v>
      </c>
      <c r="D38" s="215">
        <f t="shared" si="31"/>
        <v>1200</v>
      </c>
      <c r="E38" s="215">
        <f t="shared" si="32"/>
        <v>0</v>
      </c>
      <c r="F38" s="215">
        <f t="shared" si="33"/>
        <v>300</v>
      </c>
      <c r="G38" s="217" t="str">
        <f t="shared" si="0"/>
        <v>No</v>
      </c>
      <c r="H38" s="217" t="str">
        <f t="shared" si="1"/>
        <v>No</v>
      </c>
      <c r="I38" s="217">
        <f>IF(AND('Data Entry'!D$2&gt;=Fermentation!B38,'Data Entry'!D$2&lt;=Fermentation!A38,G38="No",H38="No"),10,ROUND(I37*(1+I$116),0))</f>
        <v>0</v>
      </c>
      <c r="J38" s="217">
        <f t="shared" si="2"/>
        <v>1189</v>
      </c>
      <c r="K38" s="217">
        <f t="shared" si="3"/>
        <v>0</v>
      </c>
      <c r="L38" s="217">
        <f t="shared" si="34"/>
        <v>0</v>
      </c>
      <c r="M38" s="217">
        <f t="shared" si="35"/>
        <v>0</v>
      </c>
      <c r="N38" s="218">
        <f t="shared" si="6"/>
        <v>0</v>
      </c>
      <c r="O38" s="217">
        <f t="shared" si="36"/>
        <v>0</v>
      </c>
      <c r="P38" s="217">
        <f t="shared" si="37"/>
        <v>0</v>
      </c>
      <c r="Q38" s="217">
        <f t="shared" si="38"/>
        <v>0</v>
      </c>
      <c r="R38" s="217">
        <f t="shared" si="39"/>
        <v>0</v>
      </c>
      <c r="S38" s="242">
        <f t="shared" si="40"/>
        <v>0</v>
      </c>
      <c r="T38" s="215">
        <f t="shared" si="41"/>
        <v>1200</v>
      </c>
      <c r="U38" s="215">
        <f t="shared" si="42"/>
        <v>0</v>
      </c>
      <c r="V38" s="243">
        <f t="shared" si="43"/>
        <v>300</v>
      </c>
      <c r="W38" s="225" t="str">
        <f t="shared" si="7"/>
        <v>No</v>
      </c>
      <c r="X38" s="225" t="str">
        <f t="shared" si="8"/>
        <v>No</v>
      </c>
      <c r="Y38" s="225">
        <f>IF(AND('Data Entry'!D$3&gt;=Fermentation!B38,'Data Entry'!D$3&lt;=Fermentation!A38),10,ROUND(Y37*(1+Y$116),0))</f>
        <v>0</v>
      </c>
      <c r="Z38" s="225">
        <f t="shared" si="9"/>
        <v>1200</v>
      </c>
      <c r="AA38" s="225">
        <f t="shared" si="10"/>
        <v>0</v>
      </c>
      <c r="AB38" s="225">
        <f t="shared" si="44"/>
        <v>0</v>
      </c>
      <c r="AC38" s="225">
        <f t="shared" si="45"/>
        <v>0</v>
      </c>
      <c r="AD38" s="226">
        <f t="shared" si="13"/>
        <v>0</v>
      </c>
      <c r="AE38" s="225">
        <f t="shared" si="46"/>
        <v>0</v>
      </c>
      <c r="AF38" s="225">
        <f t="shared" si="47"/>
        <v>0</v>
      </c>
      <c r="AG38" s="225">
        <f t="shared" si="48"/>
        <v>0</v>
      </c>
      <c r="AH38" s="225">
        <f t="shared" si="49"/>
        <v>0</v>
      </c>
    </row>
    <row r="39" spans="1:34" x14ac:dyDescent="0.2">
      <c r="A39" s="222">
        <v>1764</v>
      </c>
      <c r="B39" s="222">
        <v>1741</v>
      </c>
      <c r="C39" s="215">
        <f t="shared" si="30"/>
        <v>0</v>
      </c>
      <c r="D39" s="215">
        <f t="shared" si="31"/>
        <v>1200</v>
      </c>
      <c r="E39" s="215">
        <f t="shared" si="32"/>
        <v>0</v>
      </c>
      <c r="F39" s="215">
        <f t="shared" si="33"/>
        <v>300</v>
      </c>
      <c r="G39" s="217" t="str">
        <f t="shared" si="0"/>
        <v>No</v>
      </c>
      <c r="H39" s="217" t="str">
        <f t="shared" si="1"/>
        <v>No</v>
      </c>
      <c r="I39" s="217">
        <f>IF(AND('Data Entry'!D$2&gt;=Fermentation!B39,'Data Entry'!D$2&lt;=Fermentation!A39,G39="No",H39="No"),10,ROUND(I38*(1+I$116),0))</f>
        <v>0</v>
      </c>
      <c r="J39" s="217">
        <f t="shared" si="2"/>
        <v>1189</v>
      </c>
      <c r="K39" s="217">
        <f t="shared" si="3"/>
        <v>0</v>
      </c>
      <c r="L39" s="217">
        <f t="shared" si="34"/>
        <v>0</v>
      </c>
      <c r="M39" s="217">
        <f t="shared" si="35"/>
        <v>0</v>
      </c>
      <c r="N39" s="218">
        <f t="shared" si="6"/>
        <v>0</v>
      </c>
      <c r="O39" s="217">
        <f t="shared" si="36"/>
        <v>0</v>
      </c>
      <c r="P39" s="217">
        <f t="shared" si="37"/>
        <v>0</v>
      </c>
      <c r="Q39" s="217">
        <f t="shared" si="38"/>
        <v>0</v>
      </c>
      <c r="R39" s="217">
        <f t="shared" si="39"/>
        <v>0</v>
      </c>
      <c r="S39" s="242">
        <f t="shared" si="40"/>
        <v>0</v>
      </c>
      <c r="T39" s="215">
        <f t="shared" si="41"/>
        <v>1200</v>
      </c>
      <c r="U39" s="215">
        <f t="shared" si="42"/>
        <v>0</v>
      </c>
      <c r="V39" s="243">
        <f t="shared" si="43"/>
        <v>300</v>
      </c>
      <c r="W39" s="225" t="str">
        <f t="shared" si="7"/>
        <v>No</v>
      </c>
      <c r="X39" s="225" t="str">
        <f t="shared" si="8"/>
        <v>No</v>
      </c>
      <c r="Y39" s="225">
        <f>IF(AND('Data Entry'!D$3&gt;=Fermentation!B39,'Data Entry'!D$3&lt;=Fermentation!A39),10,ROUND(Y38*(1+Y$116),0))</f>
        <v>0</v>
      </c>
      <c r="Z39" s="225">
        <f t="shared" si="9"/>
        <v>1200</v>
      </c>
      <c r="AA39" s="225">
        <f t="shared" si="10"/>
        <v>0</v>
      </c>
      <c r="AB39" s="225">
        <f t="shared" si="44"/>
        <v>0</v>
      </c>
      <c r="AC39" s="225">
        <f t="shared" si="45"/>
        <v>0</v>
      </c>
      <c r="AD39" s="226">
        <f t="shared" si="13"/>
        <v>0</v>
      </c>
      <c r="AE39" s="225">
        <f t="shared" si="46"/>
        <v>0</v>
      </c>
      <c r="AF39" s="225">
        <f t="shared" si="47"/>
        <v>0</v>
      </c>
      <c r="AG39" s="225">
        <f t="shared" si="48"/>
        <v>0</v>
      </c>
      <c r="AH39" s="225">
        <f t="shared" si="49"/>
        <v>0</v>
      </c>
    </row>
    <row r="40" spans="1:34" x14ac:dyDescent="0.2">
      <c r="A40" s="222">
        <v>1740</v>
      </c>
      <c r="B40" s="222">
        <v>1717</v>
      </c>
      <c r="C40" s="215">
        <f t="shared" si="30"/>
        <v>0</v>
      </c>
      <c r="D40" s="215">
        <f t="shared" si="31"/>
        <v>1200</v>
      </c>
      <c r="E40" s="215">
        <f t="shared" si="32"/>
        <v>0</v>
      </c>
      <c r="F40" s="215">
        <f t="shared" si="33"/>
        <v>300</v>
      </c>
      <c r="G40" s="217" t="str">
        <f t="shared" si="0"/>
        <v>No</v>
      </c>
      <c r="H40" s="217" t="str">
        <f t="shared" si="1"/>
        <v>No</v>
      </c>
      <c r="I40" s="217">
        <f>IF(AND('Data Entry'!D$2&gt;=Fermentation!B40,'Data Entry'!D$2&lt;=Fermentation!A40,G40="No",H40="No"),10,ROUND(I39*(1+I$116),0))</f>
        <v>0</v>
      </c>
      <c r="J40" s="217">
        <f t="shared" si="2"/>
        <v>1189</v>
      </c>
      <c r="K40" s="217">
        <f t="shared" si="3"/>
        <v>0</v>
      </c>
      <c r="L40" s="217">
        <f t="shared" si="34"/>
        <v>0</v>
      </c>
      <c r="M40" s="217">
        <f t="shared" si="35"/>
        <v>0</v>
      </c>
      <c r="N40" s="218">
        <f t="shared" si="6"/>
        <v>0</v>
      </c>
      <c r="O40" s="217">
        <f t="shared" si="36"/>
        <v>0</v>
      </c>
      <c r="P40" s="217">
        <f t="shared" si="37"/>
        <v>0</v>
      </c>
      <c r="Q40" s="217">
        <f t="shared" si="38"/>
        <v>0</v>
      </c>
      <c r="R40" s="217">
        <f t="shared" si="39"/>
        <v>0</v>
      </c>
      <c r="S40" s="242">
        <f t="shared" si="40"/>
        <v>0</v>
      </c>
      <c r="T40" s="215">
        <f t="shared" si="41"/>
        <v>1200</v>
      </c>
      <c r="U40" s="215">
        <f t="shared" si="42"/>
        <v>0</v>
      </c>
      <c r="V40" s="243">
        <f t="shared" si="43"/>
        <v>300</v>
      </c>
      <c r="W40" s="225" t="str">
        <f t="shared" si="7"/>
        <v>No</v>
      </c>
      <c r="X40" s="225" t="str">
        <f t="shared" si="8"/>
        <v>No</v>
      </c>
      <c r="Y40" s="225">
        <f>IF(AND('Data Entry'!D$3&gt;=Fermentation!B40,'Data Entry'!D$3&lt;=Fermentation!A40),10,ROUND(Y39*(1+Y$116),0))</f>
        <v>0</v>
      </c>
      <c r="Z40" s="225">
        <f t="shared" si="9"/>
        <v>1200</v>
      </c>
      <c r="AA40" s="225">
        <f t="shared" si="10"/>
        <v>0</v>
      </c>
      <c r="AB40" s="225">
        <f t="shared" si="44"/>
        <v>0</v>
      </c>
      <c r="AC40" s="225">
        <f t="shared" si="45"/>
        <v>0</v>
      </c>
      <c r="AD40" s="226">
        <f t="shared" si="13"/>
        <v>0</v>
      </c>
      <c r="AE40" s="225">
        <f t="shared" si="46"/>
        <v>0</v>
      </c>
      <c r="AF40" s="225">
        <f t="shared" si="47"/>
        <v>0</v>
      </c>
      <c r="AG40" s="225">
        <f t="shared" si="48"/>
        <v>0</v>
      </c>
      <c r="AH40" s="225">
        <f t="shared" si="49"/>
        <v>0</v>
      </c>
    </row>
    <row r="41" spans="1:34" x14ac:dyDescent="0.2">
      <c r="A41" s="222">
        <v>1716</v>
      </c>
      <c r="B41" s="222">
        <v>1693</v>
      </c>
      <c r="C41" s="215">
        <f t="shared" si="30"/>
        <v>0</v>
      </c>
      <c r="D41" s="215">
        <f t="shared" si="31"/>
        <v>1200</v>
      </c>
      <c r="E41" s="215">
        <f t="shared" si="32"/>
        <v>0</v>
      </c>
      <c r="F41" s="215">
        <f t="shared" si="33"/>
        <v>300</v>
      </c>
      <c r="G41" s="217" t="str">
        <f t="shared" si="0"/>
        <v>No</v>
      </c>
      <c r="H41" s="217" t="str">
        <f t="shared" si="1"/>
        <v>No</v>
      </c>
      <c r="I41" s="217">
        <f>IF(AND('Data Entry'!D$2&gt;=Fermentation!B41,'Data Entry'!D$2&lt;=Fermentation!A41,G41="No",H41="No"),10,ROUND(I40*(1+I$116),0))</f>
        <v>0</v>
      </c>
      <c r="J41" s="217">
        <f t="shared" si="2"/>
        <v>1189</v>
      </c>
      <c r="K41" s="217">
        <f t="shared" si="3"/>
        <v>0</v>
      </c>
      <c r="L41" s="217">
        <f t="shared" si="34"/>
        <v>0</v>
      </c>
      <c r="M41" s="217">
        <f t="shared" si="35"/>
        <v>0</v>
      </c>
      <c r="N41" s="218">
        <f t="shared" si="6"/>
        <v>0</v>
      </c>
      <c r="O41" s="217">
        <f t="shared" si="36"/>
        <v>0</v>
      </c>
      <c r="P41" s="217">
        <f t="shared" si="37"/>
        <v>0</v>
      </c>
      <c r="Q41" s="217">
        <f t="shared" si="38"/>
        <v>0</v>
      </c>
      <c r="R41" s="217">
        <f t="shared" si="39"/>
        <v>0</v>
      </c>
      <c r="S41" s="242">
        <f t="shared" si="40"/>
        <v>0</v>
      </c>
      <c r="T41" s="215">
        <f t="shared" si="41"/>
        <v>1200</v>
      </c>
      <c r="U41" s="215">
        <f t="shared" si="42"/>
        <v>0</v>
      </c>
      <c r="V41" s="243">
        <f t="shared" si="43"/>
        <v>300</v>
      </c>
      <c r="W41" s="225" t="str">
        <f t="shared" si="7"/>
        <v>No</v>
      </c>
      <c r="X41" s="225" t="str">
        <f t="shared" si="8"/>
        <v>No</v>
      </c>
      <c r="Y41" s="225">
        <f>IF(AND('Data Entry'!D$3&gt;=Fermentation!B41,'Data Entry'!D$3&lt;=Fermentation!A41),10,ROUND(Y40*(1+Y$116),0))</f>
        <v>0</v>
      </c>
      <c r="Z41" s="225">
        <f t="shared" si="9"/>
        <v>1200</v>
      </c>
      <c r="AA41" s="225">
        <f t="shared" si="10"/>
        <v>0</v>
      </c>
      <c r="AB41" s="225">
        <f t="shared" si="44"/>
        <v>0</v>
      </c>
      <c r="AC41" s="225">
        <f t="shared" si="45"/>
        <v>0</v>
      </c>
      <c r="AD41" s="226">
        <f t="shared" si="13"/>
        <v>0</v>
      </c>
      <c r="AE41" s="225">
        <f t="shared" si="46"/>
        <v>0</v>
      </c>
      <c r="AF41" s="225">
        <f t="shared" si="47"/>
        <v>0</v>
      </c>
      <c r="AG41" s="225">
        <f t="shared" si="48"/>
        <v>0</v>
      </c>
      <c r="AH41" s="225">
        <f t="shared" si="49"/>
        <v>0</v>
      </c>
    </row>
    <row r="42" spans="1:34" x14ac:dyDescent="0.2">
      <c r="A42" s="222">
        <v>1692</v>
      </c>
      <c r="B42" s="222">
        <v>1669</v>
      </c>
      <c r="C42" s="215">
        <f t="shared" si="30"/>
        <v>0</v>
      </c>
      <c r="D42" s="215">
        <f t="shared" si="31"/>
        <v>1200</v>
      </c>
      <c r="E42" s="215">
        <f t="shared" si="32"/>
        <v>0</v>
      </c>
      <c r="F42" s="215">
        <f t="shared" si="33"/>
        <v>300</v>
      </c>
      <c r="G42" s="217" t="str">
        <f t="shared" si="0"/>
        <v>No</v>
      </c>
      <c r="H42" s="217" t="str">
        <f t="shared" si="1"/>
        <v>No</v>
      </c>
      <c r="I42" s="217">
        <f>IF(AND('Data Entry'!D$2&gt;=Fermentation!B42,'Data Entry'!D$2&lt;=Fermentation!A42,G42="No",H42="No"),10,ROUND(I41*(1+I$116),0))</f>
        <v>0</v>
      </c>
      <c r="J42" s="217">
        <f t="shared" si="2"/>
        <v>1189</v>
      </c>
      <c r="K42" s="217">
        <f t="shared" si="3"/>
        <v>0</v>
      </c>
      <c r="L42" s="217">
        <f t="shared" si="34"/>
        <v>0</v>
      </c>
      <c r="M42" s="217">
        <f t="shared" si="35"/>
        <v>0</v>
      </c>
      <c r="N42" s="218">
        <f t="shared" si="6"/>
        <v>0</v>
      </c>
      <c r="O42" s="217">
        <f t="shared" si="36"/>
        <v>0</v>
      </c>
      <c r="P42" s="217">
        <f t="shared" si="37"/>
        <v>0</v>
      </c>
      <c r="Q42" s="217">
        <f t="shared" si="38"/>
        <v>0</v>
      </c>
      <c r="R42" s="217">
        <f t="shared" si="39"/>
        <v>0</v>
      </c>
      <c r="S42" s="242">
        <f t="shared" si="40"/>
        <v>0</v>
      </c>
      <c r="T42" s="215">
        <f t="shared" si="41"/>
        <v>1200</v>
      </c>
      <c r="U42" s="215">
        <f t="shared" si="42"/>
        <v>0</v>
      </c>
      <c r="V42" s="243">
        <f t="shared" si="43"/>
        <v>300</v>
      </c>
      <c r="W42" s="225" t="str">
        <f t="shared" si="7"/>
        <v>No</v>
      </c>
      <c r="X42" s="225" t="str">
        <f t="shared" si="8"/>
        <v>No</v>
      </c>
      <c r="Y42" s="225">
        <f>IF(AND('Data Entry'!D$3&gt;=Fermentation!B42,'Data Entry'!D$3&lt;=Fermentation!A42),10,ROUND(Y41*(1+Y$116),0))</f>
        <v>0</v>
      </c>
      <c r="Z42" s="225">
        <f t="shared" si="9"/>
        <v>1200</v>
      </c>
      <c r="AA42" s="225">
        <f t="shared" si="10"/>
        <v>0</v>
      </c>
      <c r="AB42" s="225">
        <f t="shared" si="44"/>
        <v>0</v>
      </c>
      <c r="AC42" s="225">
        <f t="shared" si="45"/>
        <v>0</v>
      </c>
      <c r="AD42" s="226">
        <f t="shared" si="13"/>
        <v>0</v>
      </c>
      <c r="AE42" s="225">
        <f t="shared" si="46"/>
        <v>0</v>
      </c>
      <c r="AF42" s="225">
        <f t="shared" si="47"/>
        <v>0</v>
      </c>
      <c r="AG42" s="225">
        <f t="shared" si="48"/>
        <v>0</v>
      </c>
      <c r="AH42" s="225">
        <f t="shared" si="49"/>
        <v>0</v>
      </c>
    </row>
    <row r="43" spans="1:34" x14ac:dyDescent="0.2">
      <c r="A43" s="222">
        <v>1668</v>
      </c>
      <c r="B43" s="222">
        <v>1645</v>
      </c>
      <c r="C43" s="215">
        <f t="shared" si="30"/>
        <v>0</v>
      </c>
      <c r="D43" s="215">
        <f t="shared" si="31"/>
        <v>1200</v>
      </c>
      <c r="E43" s="215">
        <f t="shared" si="32"/>
        <v>0</v>
      </c>
      <c r="F43" s="215">
        <f t="shared" si="33"/>
        <v>300</v>
      </c>
      <c r="G43" s="217" t="str">
        <f t="shared" si="0"/>
        <v>No</v>
      </c>
      <c r="H43" s="217" t="str">
        <f t="shared" si="1"/>
        <v>No</v>
      </c>
      <c r="I43" s="217">
        <f>IF(AND('Data Entry'!D$2&gt;=Fermentation!B43,'Data Entry'!D$2&lt;=Fermentation!A43,G43="No",H43="No"),10,ROUND(I42*(1+I$116),0))</f>
        <v>0</v>
      </c>
      <c r="J43" s="217">
        <f t="shared" si="2"/>
        <v>1189</v>
      </c>
      <c r="K43" s="217">
        <f t="shared" si="3"/>
        <v>0</v>
      </c>
      <c r="L43" s="217">
        <f t="shared" si="34"/>
        <v>0</v>
      </c>
      <c r="M43" s="217">
        <f t="shared" si="35"/>
        <v>0</v>
      </c>
      <c r="N43" s="218">
        <f t="shared" si="6"/>
        <v>0</v>
      </c>
      <c r="O43" s="217">
        <f t="shared" si="36"/>
        <v>0</v>
      </c>
      <c r="P43" s="217">
        <f t="shared" si="37"/>
        <v>0</v>
      </c>
      <c r="Q43" s="217">
        <f t="shared" si="38"/>
        <v>0</v>
      </c>
      <c r="R43" s="217">
        <f t="shared" si="39"/>
        <v>0</v>
      </c>
      <c r="S43" s="242">
        <f t="shared" si="40"/>
        <v>0</v>
      </c>
      <c r="T43" s="215">
        <f t="shared" si="41"/>
        <v>1200</v>
      </c>
      <c r="U43" s="215">
        <f t="shared" si="42"/>
        <v>0</v>
      </c>
      <c r="V43" s="243">
        <f t="shared" si="43"/>
        <v>300</v>
      </c>
      <c r="W43" s="225" t="str">
        <f t="shared" si="7"/>
        <v>No</v>
      </c>
      <c r="X43" s="225" t="str">
        <f t="shared" si="8"/>
        <v>No</v>
      </c>
      <c r="Y43" s="225">
        <f>IF(AND('Data Entry'!D$3&gt;=Fermentation!B43,'Data Entry'!D$3&lt;=Fermentation!A43),10,ROUND(Y42*(1+Y$116),0))</f>
        <v>0</v>
      </c>
      <c r="Z43" s="225">
        <f t="shared" si="9"/>
        <v>1200</v>
      </c>
      <c r="AA43" s="225">
        <f t="shared" si="10"/>
        <v>0</v>
      </c>
      <c r="AB43" s="225">
        <f t="shared" si="44"/>
        <v>0</v>
      </c>
      <c r="AC43" s="225">
        <f t="shared" si="45"/>
        <v>0</v>
      </c>
      <c r="AD43" s="226">
        <f t="shared" si="13"/>
        <v>0</v>
      </c>
      <c r="AE43" s="225">
        <f t="shared" si="46"/>
        <v>0</v>
      </c>
      <c r="AF43" s="225">
        <f t="shared" si="47"/>
        <v>0</v>
      </c>
      <c r="AG43" s="225">
        <f t="shared" si="48"/>
        <v>0</v>
      </c>
      <c r="AH43" s="225">
        <f t="shared" si="49"/>
        <v>0</v>
      </c>
    </row>
    <row r="44" spans="1:34" x14ac:dyDescent="0.2">
      <c r="A44" s="222">
        <v>1644</v>
      </c>
      <c r="B44" s="222">
        <v>1621</v>
      </c>
      <c r="C44" s="215">
        <f t="shared" si="30"/>
        <v>0</v>
      </c>
      <c r="D44" s="215">
        <f t="shared" si="31"/>
        <v>1200</v>
      </c>
      <c r="E44" s="215">
        <f t="shared" si="32"/>
        <v>0</v>
      </c>
      <c r="F44" s="215">
        <f t="shared" si="33"/>
        <v>300</v>
      </c>
      <c r="G44" s="217" t="str">
        <f t="shared" ref="G44:G75" si="50">IF(C44&gt;I$124,"Yes","No")</f>
        <v>No</v>
      </c>
      <c r="H44" s="217" t="str">
        <f t="shared" ref="H44:H75" si="51">IF(F44&lt;I$122,"Yes","No")</f>
        <v>No</v>
      </c>
      <c r="I44" s="217">
        <f>IF(AND('Data Entry'!D$2&gt;=Fermentation!B44,'Data Entry'!D$2&lt;=Fermentation!A44,G44="No",H44="No"),10,ROUND(I43*(1+I$116),0))</f>
        <v>0</v>
      </c>
      <c r="J44" s="217">
        <f t="shared" ref="J44:J75" si="52">IF(D44-I$119&lt;0,0,D44-I$119)</f>
        <v>1189</v>
      </c>
      <c r="K44" s="217">
        <f t="shared" ref="K44:K75" si="53">IF(E44-I$120&lt;0,0,E44-I$120)</f>
        <v>0</v>
      </c>
      <c r="L44" s="217">
        <f t="shared" si="34"/>
        <v>0</v>
      </c>
      <c r="M44" s="217">
        <f t="shared" si="35"/>
        <v>0</v>
      </c>
      <c r="N44" s="218">
        <f t="shared" ref="N44:N75" si="54">IF(I$117=0,0,ROUNDDOWN((L44+M44)/I$117,0))</f>
        <v>0</v>
      </c>
      <c r="O44" s="217">
        <f t="shared" si="36"/>
        <v>0</v>
      </c>
      <c r="P44" s="217">
        <f t="shared" si="37"/>
        <v>0</v>
      </c>
      <c r="Q44" s="217">
        <f t="shared" si="38"/>
        <v>0</v>
      </c>
      <c r="R44" s="217">
        <f t="shared" si="39"/>
        <v>0</v>
      </c>
      <c r="S44" s="242">
        <f t="shared" si="40"/>
        <v>0</v>
      </c>
      <c r="T44" s="215">
        <f t="shared" si="41"/>
        <v>1200</v>
      </c>
      <c r="U44" s="215">
        <f t="shared" si="42"/>
        <v>0</v>
      </c>
      <c r="V44" s="243">
        <f t="shared" si="43"/>
        <v>300</v>
      </c>
      <c r="W44" s="225" t="str">
        <f t="shared" ref="W44:W75" si="55">IF(S44&gt;Y$124,"Yes","No")</f>
        <v>No</v>
      </c>
      <c r="X44" s="225" t="str">
        <f t="shared" ref="X44:X75" si="56">IF(V44&lt;Y$122,"Yes","No")</f>
        <v>No</v>
      </c>
      <c r="Y44" s="225">
        <f>IF(AND('Data Entry'!D$3&gt;=Fermentation!B44,'Data Entry'!D$3&lt;=Fermentation!A44),10,ROUND(Y43*(1+Y$116),0))</f>
        <v>0</v>
      </c>
      <c r="Z44" s="225">
        <f t="shared" ref="Z44:Z75" si="57">IF(T44-Y$119&lt;0,0,T44-Y$119)</f>
        <v>1200</v>
      </c>
      <c r="AA44" s="225">
        <f t="shared" ref="AA44:AA75" si="58">IF(U44-Y$120&lt;0,0,U44-Y$120)</f>
        <v>0</v>
      </c>
      <c r="AB44" s="225">
        <f t="shared" si="44"/>
        <v>0</v>
      </c>
      <c r="AC44" s="225">
        <f t="shared" si="45"/>
        <v>0</v>
      </c>
      <c r="AD44" s="226">
        <f t="shared" ref="AD44:AD75" si="59">IF(Y$117=0,0,ROUNDDOWN((AB44+AC44)/Y$117,0))</f>
        <v>0</v>
      </c>
      <c r="AE44" s="225">
        <f t="shared" si="46"/>
        <v>0</v>
      </c>
      <c r="AF44" s="225">
        <f t="shared" si="47"/>
        <v>0</v>
      </c>
      <c r="AG44" s="225">
        <f t="shared" si="48"/>
        <v>0</v>
      </c>
      <c r="AH44" s="225">
        <f t="shared" si="49"/>
        <v>0</v>
      </c>
    </row>
    <row r="45" spans="1:34" x14ac:dyDescent="0.2">
      <c r="A45" s="222">
        <v>1620</v>
      </c>
      <c r="B45" s="222">
        <v>1597</v>
      </c>
      <c r="C45" s="215">
        <f t="shared" si="30"/>
        <v>0</v>
      </c>
      <c r="D45" s="215">
        <f t="shared" si="31"/>
        <v>1200</v>
      </c>
      <c r="E45" s="215">
        <f t="shared" si="32"/>
        <v>0</v>
      </c>
      <c r="F45" s="215">
        <f t="shared" si="33"/>
        <v>300</v>
      </c>
      <c r="G45" s="217" t="str">
        <f t="shared" si="50"/>
        <v>No</v>
      </c>
      <c r="H45" s="217" t="str">
        <f t="shared" si="51"/>
        <v>No</v>
      </c>
      <c r="I45" s="217">
        <f>IF(AND('Data Entry'!D$2&gt;=Fermentation!B45,'Data Entry'!D$2&lt;=Fermentation!A45,G45="No",H45="No"),10,ROUND(I44*(1+I$116),0))</f>
        <v>0</v>
      </c>
      <c r="J45" s="217">
        <f t="shared" si="52"/>
        <v>1189</v>
      </c>
      <c r="K45" s="217">
        <f t="shared" si="53"/>
        <v>0</v>
      </c>
      <c r="L45" s="217">
        <f t="shared" si="34"/>
        <v>0</v>
      </c>
      <c r="M45" s="217">
        <f t="shared" si="35"/>
        <v>0</v>
      </c>
      <c r="N45" s="218">
        <f t="shared" si="54"/>
        <v>0</v>
      </c>
      <c r="O45" s="217">
        <f t="shared" si="36"/>
        <v>0</v>
      </c>
      <c r="P45" s="217">
        <f t="shared" si="37"/>
        <v>0</v>
      </c>
      <c r="Q45" s="217">
        <f t="shared" si="38"/>
        <v>0</v>
      </c>
      <c r="R45" s="217">
        <f t="shared" si="39"/>
        <v>0</v>
      </c>
      <c r="S45" s="242">
        <f t="shared" si="40"/>
        <v>0</v>
      </c>
      <c r="T45" s="215">
        <f t="shared" si="41"/>
        <v>1200</v>
      </c>
      <c r="U45" s="215">
        <f t="shared" si="42"/>
        <v>0</v>
      </c>
      <c r="V45" s="243">
        <f t="shared" si="43"/>
        <v>300</v>
      </c>
      <c r="W45" s="225" t="str">
        <f t="shared" si="55"/>
        <v>No</v>
      </c>
      <c r="X45" s="225" t="str">
        <f t="shared" si="56"/>
        <v>No</v>
      </c>
      <c r="Y45" s="225">
        <f>IF(AND('Data Entry'!D$3&gt;=Fermentation!B45,'Data Entry'!D$3&lt;=Fermentation!A45),10,ROUND(Y44*(1+Y$116),0))</f>
        <v>0</v>
      </c>
      <c r="Z45" s="225">
        <f t="shared" si="57"/>
        <v>1200</v>
      </c>
      <c r="AA45" s="225">
        <f t="shared" si="58"/>
        <v>0</v>
      </c>
      <c r="AB45" s="225">
        <f t="shared" si="44"/>
        <v>0</v>
      </c>
      <c r="AC45" s="225">
        <f t="shared" si="45"/>
        <v>0</v>
      </c>
      <c r="AD45" s="226">
        <f t="shared" si="59"/>
        <v>0</v>
      </c>
      <c r="AE45" s="225">
        <f t="shared" si="46"/>
        <v>0</v>
      </c>
      <c r="AF45" s="225">
        <f t="shared" si="47"/>
        <v>0</v>
      </c>
      <c r="AG45" s="225">
        <f t="shared" si="48"/>
        <v>0</v>
      </c>
      <c r="AH45" s="225">
        <f t="shared" si="49"/>
        <v>0</v>
      </c>
    </row>
    <row r="46" spans="1:34" x14ac:dyDescent="0.2">
      <c r="A46" s="222">
        <v>1596</v>
      </c>
      <c r="B46" s="222">
        <v>1573</v>
      </c>
      <c r="C46" s="215">
        <f t="shared" si="30"/>
        <v>0</v>
      </c>
      <c r="D46" s="215">
        <f t="shared" si="31"/>
        <v>1200</v>
      </c>
      <c r="E46" s="215">
        <f t="shared" si="32"/>
        <v>0</v>
      </c>
      <c r="F46" s="215">
        <f t="shared" si="33"/>
        <v>300</v>
      </c>
      <c r="G46" s="217" t="str">
        <f t="shared" si="50"/>
        <v>No</v>
      </c>
      <c r="H46" s="217" t="str">
        <f t="shared" si="51"/>
        <v>No</v>
      </c>
      <c r="I46" s="217">
        <f>IF(AND('Data Entry'!D$2&gt;=Fermentation!B46,'Data Entry'!D$2&lt;=Fermentation!A46,G46="No",H46="No"),10,ROUND(I45*(1+I$116),0))</f>
        <v>0</v>
      </c>
      <c r="J46" s="217">
        <f t="shared" si="52"/>
        <v>1189</v>
      </c>
      <c r="K46" s="217">
        <f t="shared" si="53"/>
        <v>0</v>
      </c>
      <c r="L46" s="217">
        <f t="shared" si="34"/>
        <v>0</v>
      </c>
      <c r="M46" s="217">
        <f t="shared" si="35"/>
        <v>0</v>
      </c>
      <c r="N46" s="218">
        <f t="shared" si="54"/>
        <v>0</v>
      </c>
      <c r="O46" s="217">
        <f t="shared" si="36"/>
        <v>0</v>
      </c>
      <c r="P46" s="217">
        <f t="shared" si="37"/>
        <v>0</v>
      </c>
      <c r="Q46" s="217">
        <f t="shared" si="38"/>
        <v>0</v>
      </c>
      <c r="R46" s="217">
        <f t="shared" si="39"/>
        <v>0</v>
      </c>
      <c r="S46" s="242">
        <f t="shared" si="40"/>
        <v>0</v>
      </c>
      <c r="T46" s="215">
        <f t="shared" si="41"/>
        <v>1200</v>
      </c>
      <c r="U46" s="215">
        <f t="shared" si="42"/>
        <v>0</v>
      </c>
      <c r="V46" s="243">
        <f t="shared" si="43"/>
        <v>300</v>
      </c>
      <c r="W46" s="225" t="str">
        <f t="shared" si="55"/>
        <v>No</v>
      </c>
      <c r="X46" s="225" t="str">
        <f t="shared" si="56"/>
        <v>No</v>
      </c>
      <c r="Y46" s="225">
        <f>IF(AND('Data Entry'!D$3&gt;=Fermentation!B46,'Data Entry'!D$3&lt;=Fermentation!A46),10,ROUND(Y45*(1+Y$116),0))</f>
        <v>0</v>
      </c>
      <c r="Z46" s="225">
        <f t="shared" si="57"/>
        <v>1200</v>
      </c>
      <c r="AA46" s="225">
        <f t="shared" si="58"/>
        <v>0</v>
      </c>
      <c r="AB46" s="225">
        <f t="shared" si="44"/>
        <v>0</v>
      </c>
      <c r="AC46" s="225">
        <f t="shared" si="45"/>
        <v>0</v>
      </c>
      <c r="AD46" s="226">
        <f t="shared" si="59"/>
        <v>0</v>
      </c>
      <c r="AE46" s="225">
        <f t="shared" si="46"/>
        <v>0</v>
      </c>
      <c r="AF46" s="225">
        <f t="shared" si="47"/>
        <v>0</v>
      </c>
      <c r="AG46" s="225">
        <f t="shared" si="48"/>
        <v>0</v>
      </c>
      <c r="AH46" s="225">
        <f t="shared" si="49"/>
        <v>0</v>
      </c>
    </row>
    <row r="47" spans="1:34" x14ac:dyDescent="0.2">
      <c r="A47" s="222">
        <v>1572</v>
      </c>
      <c r="B47" s="222">
        <v>1549</v>
      </c>
      <c r="C47" s="215">
        <f t="shared" si="30"/>
        <v>0</v>
      </c>
      <c r="D47" s="215">
        <f t="shared" si="31"/>
        <v>1200</v>
      </c>
      <c r="E47" s="215">
        <f t="shared" si="32"/>
        <v>0</v>
      </c>
      <c r="F47" s="215">
        <f t="shared" si="33"/>
        <v>300</v>
      </c>
      <c r="G47" s="217" t="str">
        <f t="shared" si="50"/>
        <v>No</v>
      </c>
      <c r="H47" s="217" t="str">
        <f t="shared" si="51"/>
        <v>No</v>
      </c>
      <c r="I47" s="217">
        <f>IF(AND('Data Entry'!D$2&gt;=Fermentation!B47,'Data Entry'!D$2&lt;=Fermentation!A47,G47="No",H47="No"),10,ROUND(I46*(1+I$116),0))</f>
        <v>0</v>
      </c>
      <c r="J47" s="217">
        <f t="shared" si="52"/>
        <v>1189</v>
      </c>
      <c r="K47" s="217">
        <f t="shared" si="53"/>
        <v>0</v>
      </c>
      <c r="L47" s="217">
        <f t="shared" si="34"/>
        <v>0</v>
      </c>
      <c r="M47" s="217">
        <f t="shared" si="35"/>
        <v>0</v>
      </c>
      <c r="N47" s="218">
        <f t="shared" si="54"/>
        <v>0</v>
      </c>
      <c r="O47" s="217">
        <f t="shared" si="36"/>
        <v>0</v>
      </c>
      <c r="P47" s="217">
        <f t="shared" si="37"/>
        <v>0</v>
      </c>
      <c r="Q47" s="217">
        <f t="shared" si="38"/>
        <v>0</v>
      </c>
      <c r="R47" s="217">
        <f t="shared" si="39"/>
        <v>0</v>
      </c>
      <c r="S47" s="242">
        <f t="shared" si="40"/>
        <v>0</v>
      </c>
      <c r="T47" s="215">
        <f t="shared" si="41"/>
        <v>1200</v>
      </c>
      <c r="U47" s="215">
        <f t="shared" si="42"/>
        <v>0</v>
      </c>
      <c r="V47" s="243">
        <f t="shared" si="43"/>
        <v>300</v>
      </c>
      <c r="W47" s="225" t="str">
        <f t="shared" si="55"/>
        <v>No</v>
      </c>
      <c r="X47" s="225" t="str">
        <f t="shared" si="56"/>
        <v>No</v>
      </c>
      <c r="Y47" s="225">
        <f>IF(AND('Data Entry'!D$3&gt;=Fermentation!B47,'Data Entry'!D$3&lt;=Fermentation!A47),10,ROUND(Y46*(1+Y$116),0))</f>
        <v>0</v>
      </c>
      <c r="Z47" s="225">
        <f t="shared" si="57"/>
        <v>1200</v>
      </c>
      <c r="AA47" s="225">
        <f t="shared" si="58"/>
        <v>0</v>
      </c>
      <c r="AB47" s="225">
        <f t="shared" si="44"/>
        <v>0</v>
      </c>
      <c r="AC47" s="225">
        <f t="shared" si="45"/>
        <v>0</v>
      </c>
      <c r="AD47" s="226">
        <f t="shared" si="59"/>
        <v>0</v>
      </c>
      <c r="AE47" s="225">
        <f t="shared" si="46"/>
        <v>0</v>
      </c>
      <c r="AF47" s="225">
        <f t="shared" si="47"/>
        <v>0</v>
      </c>
      <c r="AG47" s="225">
        <f t="shared" si="48"/>
        <v>0</v>
      </c>
      <c r="AH47" s="225">
        <f t="shared" si="49"/>
        <v>0</v>
      </c>
    </row>
    <row r="48" spans="1:34" x14ac:dyDescent="0.2">
      <c r="A48" s="222">
        <v>1548</v>
      </c>
      <c r="B48" s="222">
        <v>1525</v>
      </c>
      <c r="C48" s="215">
        <f t="shared" si="30"/>
        <v>0</v>
      </c>
      <c r="D48" s="215">
        <f t="shared" si="31"/>
        <v>1200</v>
      </c>
      <c r="E48" s="215">
        <f t="shared" si="32"/>
        <v>0</v>
      </c>
      <c r="F48" s="215">
        <f t="shared" si="33"/>
        <v>300</v>
      </c>
      <c r="G48" s="217" t="str">
        <f t="shared" si="50"/>
        <v>No</v>
      </c>
      <c r="H48" s="217" t="str">
        <f t="shared" si="51"/>
        <v>No</v>
      </c>
      <c r="I48" s="217">
        <f>IF(AND('Data Entry'!D$2&gt;=Fermentation!B48,'Data Entry'!D$2&lt;=Fermentation!A48,G48="No",H48="No"),10,ROUND(I47*(1+I$116),0))</f>
        <v>0</v>
      </c>
      <c r="J48" s="217">
        <f t="shared" si="52"/>
        <v>1189</v>
      </c>
      <c r="K48" s="217">
        <f t="shared" si="53"/>
        <v>0</v>
      </c>
      <c r="L48" s="217">
        <f t="shared" si="34"/>
        <v>0</v>
      </c>
      <c r="M48" s="217">
        <f t="shared" si="35"/>
        <v>0</v>
      </c>
      <c r="N48" s="218">
        <f t="shared" si="54"/>
        <v>0</v>
      </c>
      <c r="O48" s="217">
        <f t="shared" si="36"/>
        <v>0</v>
      </c>
      <c r="P48" s="217">
        <f t="shared" si="37"/>
        <v>0</v>
      </c>
      <c r="Q48" s="217">
        <f t="shared" si="38"/>
        <v>0</v>
      </c>
      <c r="R48" s="217">
        <f t="shared" si="39"/>
        <v>0</v>
      </c>
      <c r="S48" s="242">
        <f t="shared" si="40"/>
        <v>0</v>
      </c>
      <c r="T48" s="215">
        <f t="shared" si="41"/>
        <v>1200</v>
      </c>
      <c r="U48" s="215">
        <f t="shared" si="42"/>
        <v>0</v>
      </c>
      <c r="V48" s="243">
        <f t="shared" si="43"/>
        <v>300</v>
      </c>
      <c r="W48" s="225" t="str">
        <f t="shared" si="55"/>
        <v>No</v>
      </c>
      <c r="X48" s="225" t="str">
        <f t="shared" si="56"/>
        <v>No</v>
      </c>
      <c r="Y48" s="225">
        <f>IF(AND('Data Entry'!D$3&gt;=Fermentation!B48,'Data Entry'!D$3&lt;=Fermentation!A48),10,ROUND(Y47*(1+Y$116),0))</f>
        <v>0</v>
      </c>
      <c r="Z48" s="225">
        <f t="shared" si="57"/>
        <v>1200</v>
      </c>
      <c r="AA48" s="225">
        <f t="shared" si="58"/>
        <v>0</v>
      </c>
      <c r="AB48" s="225">
        <f t="shared" si="44"/>
        <v>0</v>
      </c>
      <c r="AC48" s="225">
        <f t="shared" si="45"/>
        <v>0</v>
      </c>
      <c r="AD48" s="226">
        <f t="shared" si="59"/>
        <v>0</v>
      </c>
      <c r="AE48" s="225">
        <f t="shared" si="46"/>
        <v>0</v>
      </c>
      <c r="AF48" s="225">
        <f t="shared" si="47"/>
        <v>0</v>
      </c>
      <c r="AG48" s="225">
        <f t="shared" si="48"/>
        <v>0</v>
      </c>
      <c r="AH48" s="225">
        <f t="shared" si="49"/>
        <v>0</v>
      </c>
    </row>
    <row r="49" spans="1:34" x14ac:dyDescent="0.2">
      <c r="A49" s="222">
        <v>1524</v>
      </c>
      <c r="B49" s="222">
        <v>1501</v>
      </c>
      <c r="C49" s="215">
        <f t="shared" si="30"/>
        <v>0</v>
      </c>
      <c r="D49" s="215">
        <f t="shared" si="31"/>
        <v>1200</v>
      </c>
      <c r="E49" s="215">
        <f t="shared" si="32"/>
        <v>0</v>
      </c>
      <c r="F49" s="215">
        <f t="shared" si="33"/>
        <v>300</v>
      </c>
      <c r="G49" s="217" t="str">
        <f t="shared" si="50"/>
        <v>No</v>
      </c>
      <c r="H49" s="217" t="str">
        <f t="shared" si="51"/>
        <v>No</v>
      </c>
      <c r="I49" s="217">
        <f>IF(AND('Data Entry'!D$2&gt;=Fermentation!B49,'Data Entry'!D$2&lt;=Fermentation!A49,G49="No",H49="No"),10,ROUND(I48*(1+I$116),0))</f>
        <v>0</v>
      </c>
      <c r="J49" s="217">
        <f t="shared" si="52"/>
        <v>1189</v>
      </c>
      <c r="K49" s="217">
        <f t="shared" si="53"/>
        <v>0</v>
      </c>
      <c r="L49" s="217">
        <f t="shared" si="34"/>
        <v>0</v>
      </c>
      <c r="M49" s="217">
        <f t="shared" si="35"/>
        <v>0</v>
      </c>
      <c r="N49" s="218">
        <f t="shared" si="54"/>
        <v>0</v>
      </c>
      <c r="O49" s="217">
        <f t="shared" si="36"/>
        <v>0</v>
      </c>
      <c r="P49" s="217">
        <f t="shared" si="37"/>
        <v>0</v>
      </c>
      <c r="Q49" s="217">
        <f t="shared" si="38"/>
        <v>0</v>
      </c>
      <c r="R49" s="217">
        <f t="shared" si="39"/>
        <v>0</v>
      </c>
      <c r="S49" s="242">
        <f t="shared" si="40"/>
        <v>0</v>
      </c>
      <c r="T49" s="215">
        <f t="shared" si="41"/>
        <v>1200</v>
      </c>
      <c r="U49" s="215">
        <f t="shared" si="42"/>
        <v>0</v>
      </c>
      <c r="V49" s="243">
        <f t="shared" si="43"/>
        <v>300</v>
      </c>
      <c r="W49" s="225" t="str">
        <f t="shared" si="55"/>
        <v>No</v>
      </c>
      <c r="X49" s="225" t="str">
        <f t="shared" si="56"/>
        <v>No</v>
      </c>
      <c r="Y49" s="225">
        <f>IF(AND('Data Entry'!D$3&gt;=Fermentation!B49,'Data Entry'!D$3&lt;=Fermentation!A49),10,ROUND(Y48*(1+Y$116),0))</f>
        <v>0</v>
      </c>
      <c r="Z49" s="225">
        <f t="shared" si="57"/>
        <v>1200</v>
      </c>
      <c r="AA49" s="225">
        <f t="shared" si="58"/>
        <v>0</v>
      </c>
      <c r="AB49" s="225">
        <f t="shared" si="44"/>
        <v>0</v>
      </c>
      <c r="AC49" s="225">
        <f t="shared" si="45"/>
        <v>0</v>
      </c>
      <c r="AD49" s="226">
        <f t="shared" si="59"/>
        <v>0</v>
      </c>
      <c r="AE49" s="225">
        <f t="shared" si="46"/>
        <v>0</v>
      </c>
      <c r="AF49" s="225">
        <f t="shared" si="47"/>
        <v>0</v>
      </c>
      <c r="AG49" s="225">
        <f t="shared" si="48"/>
        <v>0</v>
      </c>
      <c r="AH49" s="225">
        <f t="shared" si="49"/>
        <v>0</v>
      </c>
    </row>
    <row r="50" spans="1:34" x14ac:dyDescent="0.2">
      <c r="A50" s="222">
        <v>1500</v>
      </c>
      <c r="B50" s="222">
        <v>1477</v>
      </c>
      <c r="C50" s="215">
        <f t="shared" si="30"/>
        <v>0</v>
      </c>
      <c r="D50" s="215">
        <f t="shared" si="31"/>
        <v>1200</v>
      </c>
      <c r="E50" s="215">
        <f t="shared" si="32"/>
        <v>0</v>
      </c>
      <c r="F50" s="215">
        <f t="shared" si="33"/>
        <v>300</v>
      </c>
      <c r="G50" s="217" t="str">
        <f t="shared" si="50"/>
        <v>No</v>
      </c>
      <c r="H50" s="217" t="str">
        <f t="shared" si="51"/>
        <v>No</v>
      </c>
      <c r="I50" s="217">
        <f>IF(AND('Data Entry'!D$2&gt;=Fermentation!B50,'Data Entry'!D$2&lt;=Fermentation!A50,G50="No",H50="No"),10,ROUND(I49*(1+I$116),0))</f>
        <v>0</v>
      </c>
      <c r="J50" s="217">
        <f t="shared" si="52"/>
        <v>1189</v>
      </c>
      <c r="K50" s="217">
        <f t="shared" si="53"/>
        <v>0</v>
      </c>
      <c r="L50" s="217">
        <f t="shared" si="34"/>
        <v>0</v>
      </c>
      <c r="M50" s="217">
        <f t="shared" si="35"/>
        <v>0</v>
      </c>
      <c r="N50" s="218">
        <f t="shared" si="54"/>
        <v>0</v>
      </c>
      <c r="O50" s="217">
        <f t="shared" si="36"/>
        <v>0</v>
      </c>
      <c r="P50" s="217">
        <f t="shared" si="37"/>
        <v>0</v>
      </c>
      <c r="Q50" s="217">
        <f t="shared" si="38"/>
        <v>0</v>
      </c>
      <c r="R50" s="217">
        <f t="shared" si="39"/>
        <v>0</v>
      </c>
      <c r="S50" s="242">
        <f t="shared" si="40"/>
        <v>0</v>
      </c>
      <c r="T50" s="215">
        <f t="shared" si="41"/>
        <v>1200</v>
      </c>
      <c r="U50" s="215">
        <f t="shared" si="42"/>
        <v>0</v>
      </c>
      <c r="V50" s="243">
        <f t="shared" si="43"/>
        <v>300</v>
      </c>
      <c r="W50" s="225" t="str">
        <f t="shared" si="55"/>
        <v>No</v>
      </c>
      <c r="X50" s="225" t="str">
        <f t="shared" si="56"/>
        <v>No</v>
      </c>
      <c r="Y50" s="225">
        <f>IF(AND('Data Entry'!D$3&gt;=Fermentation!B50,'Data Entry'!D$3&lt;=Fermentation!A50),10,ROUND(Y49*(1+Y$116),0))</f>
        <v>0</v>
      </c>
      <c r="Z50" s="225">
        <f t="shared" si="57"/>
        <v>1200</v>
      </c>
      <c r="AA50" s="225">
        <f t="shared" si="58"/>
        <v>0</v>
      </c>
      <c r="AB50" s="225">
        <f t="shared" si="44"/>
        <v>0</v>
      </c>
      <c r="AC50" s="225">
        <f t="shared" si="45"/>
        <v>0</v>
      </c>
      <c r="AD50" s="226">
        <f t="shared" si="59"/>
        <v>0</v>
      </c>
      <c r="AE50" s="225">
        <f t="shared" si="46"/>
        <v>0</v>
      </c>
      <c r="AF50" s="225">
        <f t="shared" si="47"/>
        <v>0</v>
      </c>
      <c r="AG50" s="225">
        <f t="shared" si="48"/>
        <v>0</v>
      </c>
      <c r="AH50" s="225">
        <f t="shared" si="49"/>
        <v>0</v>
      </c>
    </row>
    <row r="51" spans="1:34" x14ac:dyDescent="0.2">
      <c r="A51" s="222">
        <v>1476</v>
      </c>
      <c r="B51" s="222">
        <v>1453</v>
      </c>
      <c r="C51" s="215">
        <f t="shared" si="30"/>
        <v>0</v>
      </c>
      <c r="D51" s="215">
        <f t="shared" si="31"/>
        <v>1200</v>
      </c>
      <c r="E51" s="215">
        <f t="shared" si="32"/>
        <v>0</v>
      </c>
      <c r="F51" s="215">
        <f t="shared" si="33"/>
        <v>300</v>
      </c>
      <c r="G51" s="217" t="str">
        <f t="shared" si="50"/>
        <v>No</v>
      </c>
      <c r="H51" s="217" t="str">
        <f t="shared" si="51"/>
        <v>No</v>
      </c>
      <c r="I51" s="217">
        <f>IF(AND('Data Entry'!D$2&gt;=Fermentation!B51,'Data Entry'!D$2&lt;=Fermentation!A51,G51="No",H51="No"),10,ROUND(I50*(1+I$116),0))</f>
        <v>0</v>
      </c>
      <c r="J51" s="217">
        <f t="shared" si="52"/>
        <v>1189</v>
      </c>
      <c r="K51" s="217">
        <f t="shared" si="53"/>
        <v>0</v>
      </c>
      <c r="L51" s="217">
        <f t="shared" si="34"/>
        <v>0</v>
      </c>
      <c r="M51" s="217">
        <f t="shared" si="35"/>
        <v>0</v>
      </c>
      <c r="N51" s="218">
        <f t="shared" si="54"/>
        <v>0</v>
      </c>
      <c r="O51" s="217">
        <f t="shared" si="36"/>
        <v>0</v>
      </c>
      <c r="P51" s="217">
        <f t="shared" si="37"/>
        <v>0</v>
      </c>
      <c r="Q51" s="217">
        <f t="shared" si="38"/>
        <v>0</v>
      </c>
      <c r="R51" s="217">
        <f t="shared" si="39"/>
        <v>0</v>
      </c>
      <c r="S51" s="242">
        <f t="shared" si="40"/>
        <v>0</v>
      </c>
      <c r="T51" s="215">
        <f t="shared" si="41"/>
        <v>1200</v>
      </c>
      <c r="U51" s="215">
        <f t="shared" si="42"/>
        <v>0</v>
      </c>
      <c r="V51" s="243">
        <f t="shared" si="43"/>
        <v>300</v>
      </c>
      <c r="W51" s="225" t="str">
        <f t="shared" si="55"/>
        <v>No</v>
      </c>
      <c r="X51" s="225" t="str">
        <f t="shared" si="56"/>
        <v>No</v>
      </c>
      <c r="Y51" s="225">
        <f>IF(AND('Data Entry'!D$3&gt;=Fermentation!B51,'Data Entry'!D$3&lt;=Fermentation!A51),10,ROUND(Y50*(1+Y$116),0))</f>
        <v>0</v>
      </c>
      <c r="Z51" s="225">
        <f t="shared" si="57"/>
        <v>1200</v>
      </c>
      <c r="AA51" s="225">
        <f t="shared" si="58"/>
        <v>0</v>
      </c>
      <c r="AB51" s="225">
        <f t="shared" si="44"/>
        <v>0</v>
      </c>
      <c r="AC51" s="225">
        <f t="shared" si="45"/>
        <v>0</v>
      </c>
      <c r="AD51" s="226">
        <f t="shared" si="59"/>
        <v>0</v>
      </c>
      <c r="AE51" s="225">
        <f t="shared" si="46"/>
        <v>0</v>
      </c>
      <c r="AF51" s="225">
        <f t="shared" si="47"/>
        <v>0</v>
      </c>
      <c r="AG51" s="225">
        <f t="shared" si="48"/>
        <v>0</v>
      </c>
      <c r="AH51" s="225">
        <f t="shared" si="49"/>
        <v>0</v>
      </c>
    </row>
    <row r="52" spans="1:34" x14ac:dyDescent="0.2">
      <c r="A52" s="222">
        <v>1452</v>
      </c>
      <c r="B52" s="222">
        <v>1429</v>
      </c>
      <c r="C52" s="215">
        <f t="shared" si="30"/>
        <v>0</v>
      </c>
      <c r="D52" s="215">
        <f t="shared" si="31"/>
        <v>1200</v>
      </c>
      <c r="E52" s="215">
        <f t="shared" si="32"/>
        <v>0</v>
      </c>
      <c r="F52" s="215">
        <f t="shared" si="33"/>
        <v>300</v>
      </c>
      <c r="G52" s="217" t="str">
        <f t="shared" si="50"/>
        <v>No</v>
      </c>
      <c r="H52" s="217" t="str">
        <f t="shared" si="51"/>
        <v>No</v>
      </c>
      <c r="I52" s="217">
        <f>IF(AND('Data Entry'!D$2&gt;=Fermentation!B52,'Data Entry'!D$2&lt;=Fermentation!A52,G52="No",H52="No"),10,ROUND(I51*(1+I$116),0))</f>
        <v>0</v>
      </c>
      <c r="J52" s="217">
        <f t="shared" si="52"/>
        <v>1189</v>
      </c>
      <c r="K52" s="217">
        <f t="shared" si="53"/>
        <v>0</v>
      </c>
      <c r="L52" s="217">
        <f t="shared" si="34"/>
        <v>0</v>
      </c>
      <c r="M52" s="217">
        <f t="shared" si="35"/>
        <v>0</v>
      </c>
      <c r="N52" s="218">
        <f t="shared" si="54"/>
        <v>0</v>
      </c>
      <c r="O52" s="217">
        <f t="shared" si="36"/>
        <v>0</v>
      </c>
      <c r="P52" s="217">
        <f t="shared" si="37"/>
        <v>0</v>
      </c>
      <c r="Q52" s="217">
        <f t="shared" si="38"/>
        <v>0</v>
      </c>
      <c r="R52" s="217">
        <f t="shared" si="39"/>
        <v>0</v>
      </c>
      <c r="S52" s="242">
        <f t="shared" si="40"/>
        <v>0</v>
      </c>
      <c r="T52" s="215">
        <f t="shared" si="41"/>
        <v>1200</v>
      </c>
      <c r="U52" s="215">
        <f t="shared" si="42"/>
        <v>0</v>
      </c>
      <c r="V52" s="243">
        <f t="shared" si="43"/>
        <v>300</v>
      </c>
      <c r="W52" s="225" t="str">
        <f t="shared" si="55"/>
        <v>No</v>
      </c>
      <c r="X52" s="225" t="str">
        <f t="shared" si="56"/>
        <v>No</v>
      </c>
      <c r="Y52" s="225">
        <f>IF(AND('Data Entry'!D$3&gt;=Fermentation!B52,'Data Entry'!D$3&lt;=Fermentation!A52),10,ROUND(Y51*(1+Y$116),0))</f>
        <v>0</v>
      </c>
      <c r="Z52" s="225">
        <f t="shared" si="57"/>
        <v>1200</v>
      </c>
      <c r="AA52" s="225">
        <f t="shared" si="58"/>
        <v>0</v>
      </c>
      <c r="AB52" s="225">
        <f t="shared" si="44"/>
        <v>0</v>
      </c>
      <c r="AC52" s="225">
        <f t="shared" si="45"/>
        <v>0</v>
      </c>
      <c r="AD52" s="226">
        <f t="shared" si="59"/>
        <v>0</v>
      </c>
      <c r="AE52" s="225">
        <f t="shared" si="46"/>
        <v>0</v>
      </c>
      <c r="AF52" s="225">
        <f t="shared" si="47"/>
        <v>0</v>
      </c>
      <c r="AG52" s="225">
        <f t="shared" si="48"/>
        <v>0</v>
      </c>
      <c r="AH52" s="225">
        <f t="shared" si="49"/>
        <v>0</v>
      </c>
    </row>
    <row r="53" spans="1:34" x14ac:dyDescent="0.2">
      <c r="A53" s="222">
        <v>1428</v>
      </c>
      <c r="B53" s="222">
        <v>1405</v>
      </c>
      <c r="C53" s="215">
        <f t="shared" si="30"/>
        <v>0</v>
      </c>
      <c r="D53" s="215">
        <f t="shared" si="31"/>
        <v>1200</v>
      </c>
      <c r="E53" s="215">
        <f t="shared" si="32"/>
        <v>0</v>
      </c>
      <c r="F53" s="215">
        <f t="shared" si="33"/>
        <v>300</v>
      </c>
      <c r="G53" s="217" t="str">
        <f t="shared" si="50"/>
        <v>No</v>
      </c>
      <c r="H53" s="217" t="str">
        <f t="shared" si="51"/>
        <v>No</v>
      </c>
      <c r="I53" s="217">
        <f>IF(AND('Data Entry'!D$2&gt;=Fermentation!B53,'Data Entry'!D$2&lt;=Fermentation!A53,G53="No",H53="No"),10,ROUND(I52*(1+I$116),0))</f>
        <v>0</v>
      </c>
      <c r="J53" s="217">
        <f t="shared" si="52"/>
        <v>1189</v>
      </c>
      <c r="K53" s="217">
        <f t="shared" si="53"/>
        <v>0</v>
      </c>
      <c r="L53" s="217">
        <f t="shared" si="34"/>
        <v>0</v>
      </c>
      <c r="M53" s="217">
        <f t="shared" si="35"/>
        <v>0</v>
      </c>
      <c r="N53" s="218">
        <f t="shared" si="54"/>
        <v>0</v>
      </c>
      <c r="O53" s="217">
        <f t="shared" si="36"/>
        <v>0</v>
      </c>
      <c r="P53" s="217">
        <f t="shared" si="37"/>
        <v>0</v>
      </c>
      <c r="Q53" s="217">
        <f t="shared" si="38"/>
        <v>0</v>
      </c>
      <c r="R53" s="217">
        <f t="shared" si="39"/>
        <v>0</v>
      </c>
      <c r="S53" s="242">
        <f t="shared" si="40"/>
        <v>0</v>
      </c>
      <c r="T53" s="215">
        <f t="shared" si="41"/>
        <v>1200</v>
      </c>
      <c r="U53" s="215">
        <f t="shared" si="42"/>
        <v>0</v>
      </c>
      <c r="V53" s="243">
        <f t="shared" si="43"/>
        <v>300</v>
      </c>
      <c r="W53" s="225" t="str">
        <f t="shared" si="55"/>
        <v>No</v>
      </c>
      <c r="X53" s="225" t="str">
        <f t="shared" si="56"/>
        <v>No</v>
      </c>
      <c r="Y53" s="225">
        <f>IF(AND('Data Entry'!D$3&gt;=Fermentation!B53,'Data Entry'!D$3&lt;=Fermentation!A53),10,ROUND(Y52*(1+Y$116),0))</f>
        <v>0</v>
      </c>
      <c r="Z53" s="225">
        <f t="shared" si="57"/>
        <v>1200</v>
      </c>
      <c r="AA53" s="225">
        <f t="shared" si="58"/>
        <v>0</v>
      </c>
      <c r="AB53" s="225">
        <f t="shared" si="44"/>
        <v>0</v>
      </c>
      <c r="AC53" s="225">
        <f t="shared" si="45"/>
        <v>0</v>
      </c>
      <c r="AD53" s="226">
        <f t="shared" si="59"/>
        <v>0</v>
      </c>
      <c r="AE53" s="225">
        <f t="shared" si="46"/>
        <v>0</v>
      </c>
      <c r="AF53" s="225">
        <f t="shared" si="47"/>
        <v>0</v>
      </c>
      <c r="AG53" s="225">
        <f t="shared" si="48"/>
        <v>0</v>
      </c>
      <c r="AH53" s="225">
        <f t="shared" si="49"/>
        <v>0</v>
      </c>
    </row>
    <row r="54" spans="1:34" x14ac:dyDescent="0.2">
      <c r="A54" s="222">
        <v>1404</v>
      </c>
      <c r="B54" s="222">
        <v>1381</v>
      </c>
      <c r="C54" s="215">
        <f t="shared" si="30"/>
        <v>0</v>
      </c>
      <c r="D54" s="215">
        <f t="shared" si="31"/>
        <v>1200</v>
      </c>
      <c r="E54" s="215">
        <f t="shared" si="32"/>
        <v>0</v>
      </c>
      <c r="F54" s="215">
        <f t="shared" si="33"/>
        <v>300</v>
      </c>
      <c r="G54" s="217" t="str">
        <f t="shared" si="50"/>
        <v>No</v>
      </c>
      <c r="H54" s="217" t="str">
        <f t="shared" si="51"/>
        <v>No</v>
      </c>
      <c r="I54" s="217">
        <f>IF(AND('Data Entry'!D$2&gt;=Fermentation!B54,'Data Entry'!D$2&lt;=Fermentation!A54,G54="No",H54="No"),10,ROUND(I53*(1+I$116),0))</f>
        <v>0</v>
      </c>
      <c r="J54" s="217">
        <f t="shared" si="52"/>
        <v>1189</v>
      </c>
      <c r="K54" s="217">
        <f t="shared" si="53"/>
        <v>0</v>
      </c>
      <c r="L54" s="217">
        <f t="shared" si="34"/>
        <v>0</v>
      </c>
      <c r="M54" s="217">
        <f t="shared" si="35"/>
        <v>0</v>
      </c>
      <c r="N54" s="218">
        <f t="shared" si="54"/>
        <v>0</v>
      </c>
      <c r="O54" s="217">
        <f t="shared" si="36"/>
        <v>0</v>
      </c>
      <c r="P54" s="217">
        <f t="shared" si="37"/>
        <v>0</v>
      </c>
      <c r="Q54" s="217">
        <f t="shared" si="38"/>
        <v>0</v>
      </c>
      <c r="R54" s="217">
        <f t="shared" si="39"/>
        <v>0</v>
      </c>
      <c r="S54" s="242">
        <f t="shared" si="40"/>
        <v>0</v>
      </c>
      <c r="T54" s="215">
        <f t="shared" si="41"/>
        <v>1200</v>
      </c>
      <c r="U54" s="215">
        <f t="shared" si="42"/>
        <v>0</v>
      </c>
      <c r="V54" s="243">
        <f t="shared" si="43"/>
        <v>300</v>
      </c>
      <c r="W54" s="225" t="str">
        <f t="shared" si="55"/>
        <v>No</v>
      </c>
      <c r="X54" s="225" t="str">
        <f t="shared" si="56"/>
        <v>No</v>
      </c>
      <c r="Y54" s="225">
        <f>IF(AND('Data Entry'!D$3&gt;=Fermentation!B54,'Data Entry'!D$3&lt;=Fermentation!A54),10,ROUND(Y53*(1+Y$116),0))</f>
        <v>0</v>
      </c>
      <c r="Z54" s="225">
        <f t="shared" si="57"/>
        <v>1200</v>
      </c>
      <c r="AA54" s="225">
        <f t="shared" si="58"/>
        <v>0</v>
      </c>
      <c r="AB54" s="225">
        <f t="shared" si="44"/>
        <v>0</v>
      </c>
      <c r="AC54" s="225">
        <f t="shared" si="45"/>
        <v>0</v>
      </c>
      <c r="AD54" s="226">
        <f t="shared" si="59"/>
        <v>0</v>
      </c>
      <c r="AE54" s="225">
        <f t="shared" si="46"/>
        <v>0</v>
      </c>
      <c r="AF54" s="225">
        <f t="shared" si="47"/>
        <v>0</v>
      </c>
      <c r="AG54" s="225">
        <f t="shared" si="48"/>
        <v>0</v>
      </c>
      <c r="AH54" s="225">
        <f t="shared" si="49"/>
        <v>0</v>
      </c>
    </row>
    <row r="55" spans="1:34" x14ac:dyDescent="0.2">
      <c r="A55" s="222">
        <v>1380</v>
      </c>
      <c r="B55" s="222">
        <v>1357</v>
      </c>
      <c r="C55" s="215">
        <f t="shared" si="30"/>
        <v>0</v>
      </c>
      <c r="D55" s="215">
        <f t="shared" si="31"/>
        <v>1200</v>
      </c>
      <c r="E55" s="215">
        <f t="shared" si="32"/>
        <v>0</v>
      </c>
      <c r="F55" s="215">
        <f t="shared" si="33"/>
        <v>300</v>
      </c>
      <c r="G55" s="217" t="str">
        <f t="shared" si="50"/>
        <v>No</v>
      </c>
      <c r="H55" s="217" t="str">
        <f t="shared" si="51"/>
        <v>No</v>
      </c>
      <c r="I55" s="217">
        <f>IF(AND('Data Entry'!D$2&gt;=Fermentation!B55,'Data Entry'!D$2&lt;=Fermentation!A55,G55="No",H55="No"),10,ROUND(I54*(1+I$116),0))</f>
        <v>0</v>
      </c>
      <c r="J55" s="217">
        <f t="shared" si="52"/>
        <v>1189</v>
      </c>
      <c r="K55" s="217">
        <f t="shared" si="53"/>
        <v>0</v>
      </c>
      <c r="L55" s="217">
        <f t="shared" si="34"/>
        <v>0</v>
      </c>
      <c r="M55" s="217">
        <f t="shared" si="35"/>
        <v>0</v>
      </c>
      <c r="N55" s="218">
        <f t="shared" si="54"/>
        <v>0</v>
      </c>
      <c r="O55" s="217">
        <f t="shared" si="36"/>
        <v>0</v>
      </c>
      <c r="P55" s="217">
        <f t="shared" si="37"/>
        <v>0</v>
      </c>
      <c r="Q55" s="217">
        <f t="shared" si="38"/>
        <v>0</v>
      </c>
      <c r="R55" s="217">
        <f t="shared" si="39"/>
        <v>0</v>
      </c>
      <c r="S55" s="242">
        <f t="shared" si="40"/>
        <v>0</v>
      </c>
      <c r="T55" s="215">
        <f t="shared" si="41"/>
        <v>1200</v>
      </c>
      <c r="U55" s="215">
        <f t="shared" si="42"/>
        <v>0</v>
      </c>
      <c r="V55" s="243">
        <f t="shared" si="43"/>
        <v>300</v>
      </c>
      <c r="W55" s="225" t="str">
        <f t="shared" si="55"/>
        <v>No</v>
      </c>
      <c r="X55" s="225" t="str">
        <f t="shared" si="56"/>
        <v>No</v>
      </c>
      <c r="Y55" s="225">
        <f>IF(AND('Data Entry'!D$3&gt;=Fermentation!B55,'Data Entry'!D$3&lt;=Fermentation!A55),10,ROUND(Y54*(1+Y$116),0))</f>
        <v>0</v>
      </c>
      <c r="Z55" s="225">
        <f t="shared" si="57"/>
        <v>1200</v>
      </c>
      <c r="AA55" s="225">
        <f t="shared" si="58"/>
        <v>0</v>
      </c>
      <c r="AB55" s="225">
        <f t="shared" si="44"/>
        <v>0</v>
      </c>
      <c r="AC55" s="225">
        <f t="shared" si="45"/>
        <v>0</v>
      </c>
      <c r="AD55" s="226">
        <f t="shared" si="59"/>
        <v>0</v>
      </c>
      <c r="AE55" s="225">
        <f t="shared" si="46"/>
        <v>0</v>
      </c>
      <c r="AF55" s="225">
        <f t="shared" si="47"/>
        <v>0</v>
      </c>
      <c r="AG55" s="225">
        <f t="shared" si="48"/>
        <v>0</v>
      </c>
      <c r="AH55" s="225">
        <f t="shared" si="49"/>
        <v>0</v>
      </c>
    </row>
    <row r="56" spans="1:34" x14ac:dyDescent="0.2">
      <c r="A56" s="222">
        <v>1356</v>
      </c>
      <c r="B56" s="222">
        <v>1333</v>
      </c>
      <c r="C56" s="215">
        <f t="shared" si="30"/>
        <v>0</v>
      </c>
      <c r="D56" s="215">
        <f t="shared" si="31"/>
        <v>1200</v>
      </c>
      <c r="E56" s="215">
        <f t="shared" si="32"/>
        <v>0</v>
      </c>
      <c r="F56" s="215">
        <f t="shared" si="33"/>
        <v>300</v>
      </c>
      <c r="G56" s="217" t="str">
        <f t="shared" si="50"/>
        <v>No</v>
      </c>
      <c r="H56" s="217" t="str">
        <f t="shared" si="51"/>
        <v>No</v>
      </c>
      <c r="I56" s="217">
        <f>IF(AND('Data Entry'!D$2&gt;=Fermentation!B56,'Data Entry'!D$2&lt;=Fermentation!A56,G56="No",H56="No"),10,ROUND(I55*(1+I$116),0))</f>
        <v>0</v>
      </c>
      <c r="J56" s="217">
        <f t="shared" si="52"/>
        <v>1189</v>
      </c>
      <c r="K56" s="217">
        <f t="shared" si="53"/>
        <v>0</v>
      </c>
      <c r="L56" s="217">
        <f t="shared" si="34"/>
        <v>0</v>
      </c>
      <c r="M56" s="217">
        <f t="shared" si="35"/>
        <v>0</v>
      </c>
      <c r="N56" s="218">
        <f t="shared" si="54"/>
        <v>0</v>
      </c>
      <c r="O56" s="217">
        <f t="shared" si="36"/>
        <v>0</v>
      </c>
      <c r="P56" s="217">
        <f t="shared" si="37"/>
        <v>0</v>
      </c>
      <c r="Q56" s="217">
        <f t="shared" si="38"/>
        <v>0</v>
      </c>
      <c r="R56" s="217">
        <f t="shared" si="39"/>
        <v>0</v>
      </c>
      <c r="S56" s="242">
        <f t="shared" si="40"/>
        <v>0</v>
      </c>
      <c r="T56" s="215">
        <f t="shared" si="41"/>
        <v>1200</v>
      </c>
      <c r="U56" s="215">
        <f t="shared" si="42"/>
        <v>0</v>
      </c>
      <c r="V56" s="243">
        <f t="shared" si="43"/>
        <v>300</v>
      </c>
      <c r="W56" s="225" t="str">
        <f t="shared" si="55"/>
        <v>No</v>
      </c>
      <c r="X56" s="225" t="str">
        <f t="shared" si="56"/>
        <v>No</v>
      </c>
      <c r="Y56" s="225">
        <f>IF(AND('Data Entry'!D$3&gt;=Fermentation!B56,'Data Entry'!D$3&lt;=Fermentation!A56),10,ROUND(Y55*(1+Y$116),0))</f>
        <v>0</v>
      </c>
      <c r="Z56" s="225">
        <f t="shared" si="57"/>
        <v>1200</v>
      </c>
      <c r="AA56" s="225">
        <f t="shared" si="58"/>
        <v>0</v>
      </c>
      <c r="AB56" s="225">
        <f t="shared" si="44"/>
        <v>0</v>
      </c>
      <c r="AC56" s="225">
        <f t="shared" si="45"/>
        <v>0</v>
      </c>
      <c r="AD56" s="226">
        <f t="shared" si="59"/>
        <v>0</v>
      </c>
      <c r="AE56" s="225">
        <f t="shared" si="46"/>
        <v>0</v>
      </c>
      <c r="AF56" s="225">
        <f t="shared" si="47"/>
        <v>0</v>
      </c>
      <c r="AG56" s="225">
        <f t="shared" si="48"/>
        <v>0</v>
      </c>
      <c r="AH56" s="225">
        <f t="shared" si="49"/>
        <v>0</v>
      </c>
    </row>
    <row r="57" spans="1:34" x14ac:dyDescent="0.2">
      <c r="A57" s="222">
        <v>1332</v>
      </c>
      <c r="B57" s="222">
        <v>1309</v>
      </c>
      <c r="C57" s="215">
        <f t="shared" si="30"/>
        <v>0</v>
      </c>
      <c r="D57" s="215">
        <f t="shared" si="31"/>
        <v>1200</v>
      </c>
      <c r="E57" s="215">
        <f t="shared" si="32"/>
        <v>0</v>
      </c>
      <c r="F57" s="215">
        <f t="shared" si="33"/>
        <v>300</v>
      </c>
      <c r="G57" s="217" t="str">
        <f t="shared" si="50"/>
        <v>No</v>
      </c>
      <c r="H57" s="217" t="str">
        <f t="shared" si="51"/>
        <v>No</v>
      </c>
      <c r="I57" s="217">
        <f>IF(AND('Data Entry'!D$2&gt;=Fermentation!B57,'Data Entry'!D$2&lt;=Fermentation!A57,G57="No",H57="No"),10,ROUND(I56*(1+I$116),0))</f>
        <v>0</v>
      </c>
      <c r="J57" s="217">
        <f t="shared" si="52"/>
        <v>1189</v>
      </c>
      <c r="K57" s="217">
        <f t="shared" si="53"/>
        <v>0</v>
      </c>
      <c r="L57" s="217">
        <f t="shared" si="34"/>
        <v>0</v>
      </c>
      <c r="M57" s="217">
        <f t="shared" si="35"/>
        <v>0</v>
      </c>
      <c r="N57" s="218">
        <f t="shared" si="54"/>
        <v>0</v>
      </c>
      <c r="O57" s="217">
        <f t="shared" si="36"/>
        <v>0</v>
      </c>
      <c r="P57" s="217">
        <f t="shared" si="37"/>
        <v>0</v>
      </c>
      <c r="Q57" s="217">
        <f t="shared" si="38"/>
        <v>0</v>
      </c>
      <c r="R57" s="217">
        <f t="shared" si="39"/>
        <v>0</v>
      </c>
      <c r="S57" s="242">
        <f t="shared" si="40"/>
        <v>0</v>
      </c>
      <c r="T57" s="215">
        <f t="shared" si="41"/>
        <v>1200</v>
      </c>
      <c r="U57" s="215">
        <f t="shared" si="42"/>
        <v>0</v>
      </c>
      <c r="V57" s="243">
        <f t="shared" si="43"/>
        <v>300</v>
      </c>
      <c r="W57" s="225" t="str">
        <f t="shared" si="55"/>
        <v>No</v>
      </c>
      <c r="X57" s="225" t="str">
        <f t="shared" si="56"/>
        <v>No</v>
      </c>
      <c r="Y57" s="225">
        <f>IF(AND('Data Entry'!D$3&gt;=Fermentation!B57,'Data Entry'!D$3&lt;=Fermentation!A57),10,ROUND(Y56*(1+Y$116),0))</f>
        <v>0</v>
      </c>
      <c r="Z57" s="225">
        <f t="shared" si="57"/>
        <v>1200</v>
      </c>
      <c r="AA57" s="225">
        <f t="shared" si="58"/>
        <v>0</v>
      </c>
      <c r="AB57" s="225">
        <f t="shared" si="44"/>
        <v>0</v>
      </c>
      <c r="AC57" s="225">
        <f t="shared" si="45"/>
        <v>0</v>
      </c>
      <c r="AD57" s="226">
        <f t="shared" si="59"/>
        <v>0</v>
      </c>
      <c r="AE57" s="225">
        <f t="shared" si="46"/>
        <v>0</v>
      </c>
      <c r="AF57" s="225">
        <f t="shared" si="47"/>
        <v>0</v>
      </c>
      <c r="AG57" s="225">
        <f t="shared" si="48"/>
        <v>0</v>
      </c>
      <c r="AH57" s="225">
        <f t="shared" si="49"/>
        <v>0</v>
      </c>
    </row>
    <row r="58" spans="1:34" x14ac:dyDescent="0.2">
      <c r="A58" s="222">
        <v>1308</v>
      </c>
      <c r="B58" s="222">
        <v>1285</v>
      </c>
      <c r="C58" s="215">
        <f t="shared" si="30"/>
        <v>0</v>
      </c>
      <c r="D58" s="215">
        <f t="shared" si="31"/>
        <v>1200</v>
      </c>
      <c r="E58" s="215">
        <f t="shared" si="32"/>
        <v>0</v>
      </c>
      <c r="F58" s="215">
        <f t="shared" si="33"/>
        <v>300</v>
      </c>
      <c r="G58" s="217" t="str">
        <f t="shared" si="50"/>
        <v>No</v>
      </c>
      <c r="H58" s="217" t="str">
        <f t="shared" si="51"/>
        <v>No</v>
      </c>
      <c r="I58" s="217">
        <f>IF(AND('Data Entry'!D$2&gt;=Fermentation!B58,'Data Entry'!D$2&lt;=Fermentation!A58,G58="No",H58="No"),10,ROUND(I57*(1+I$116),0))</f>
        <v>0</v>
      </c>
      <c r="J58" s="217">
        <f t="shared" si="52"/>
        <v>1189</v>
      </c>
      <c r="K58" s="217">
        <f t="shared" si="53"/>
        <v>0</v>
      </c>
      <c r="L58" s="217">
        <f t="shared" si="34"/>
        <v>0</v>
      </c>
      <c r="M58" s="217">
        <f t="shared" si="35"/>
        <v>0</v>
      </c>
      <c r="N58" s="218">
        <f t="shared" si="54"/>
        <v>0</v>
      </c>
      <c r="O58" s="217">
        <f t="shared" si="36"/>
        <v>0</v>
      </c>
      <c r="P58" s="217">
        <f t="shared" si="37"/>
        <v>0</v>
      </c>
      <c r="Q58" s="217">
        <f t="shared" si="38"/>
        <v>0</v>
      </c>
      <c r="R58" s="217">
        <f t="shared" si="39"/>
        <v>0</v>
      </c>
      <c r="S58" s="242">
        <f t="shared" si="40"/>
        <v>0</v>
      </c>
      <c r="T58" s="215">
        <f t="shared" si="41"/>
        <v>1200</v>
      </c>
      <c r="U58" s="215">
        <f t="shared" si="42"/>
        <v>0</v>
      </c>
      <c r="V58" s="243">
        <f t="shared" si="43"/>
        <v>300</v>
      </c>
      <c r="W58" s="225" t="str">
        <f t="shared" si="55"/>
        <v>No</v>
      </c>
      <c r="X58" s="225" t="str">
        <f t="shared" si="56"/>
        <v>No</v>
      </c>
      <c r="Y58" s="225">
        <f>IF(AND('Data Entry'!D$3&gt;=Fermentation!B58,'Data Entry'!D$3&lt;=Fermentation!A58),10,ROUND(Y57*(1+Y$116),0))</f>
        <v>0</v>
      </c>
      <c r="Z58" s="225">
        <f t="shared" si="57"/>
        <v>1200</v>
      </c>
      <c r="AA58" s="225">
        <f t="shared" si="58"/>
        <v>0</v>
      </c>
      <c r="AB58" s="225">
        <f t="shared" si="44"/>
        <v>0</v>
      </c>
      <c r="AC58" s="225">
        <f t="shared" si="45"/>
        <v>0</v>
      </c>
      <c r="AD58" s="226">
        <f t="shared" si="59"/>
        <v>0</v>
      </c>
      <c r="AE58" s="225">
        <f t="shared" si="46"/>
        <v>0</v>
      </c>
      <c r="AF58" s="225">
        <f t="shared" si="47"/>
        <v>0</v>
      </c>
      <c r="AG58" s="225">
        <f t="shared" si="48"/>
        <v>0</v>
      </c>
      <c r="AH58" s="225">
        <f t="shared" si="49"/>
        <v>0</v>
      </c>
    </row>
    <row r="59" spans="1:34" x14ac:dyDescent="0.2">
      <c r="A59" s="222">
        <v>1284</v>
      </c>
      <c r="B59" s="222">
        <v>1261</v>
      </c>
      <c r="C59" s="215">
        <f t="shared" si="30"/>
        <v>0</v>
      </c>
      <c r="D59" s="215">
        <f t="shared" si="31"/>
        <v>1200</v>
      </c>
      <c r="E59" s="215">
        <f t="shared" si="32"/>
        <v>0</v>
      </c>
      <c r="F59" s="215">
        <f t="shared" si="33"/>
        <v>300</v>
      </c>
      <c r="G59" s="217" t="str">
        <f t="shared" si="50"/>
        <v>No</v>
      </c>
      <c r="H59" s="217" t="str">
        <f t="shared" si="51"/>
        <v>No</v>
      </c>
      <c r="I59" s="217">
        <f>IF(AND('Data Entry'!D$2&gt;=Fermentation!B59,'Data Entry'!D$2&lt;=Fermentation!A59,G59="No",H59="No"),10,ROUND(I58*(1+I$116),0))</f>
        <v>0</v>
      </c>
      <c r="J59" s="217">
        <f t="shared" si="52"/>
        <v>1189</v>
      </c>
      <c r="K59" s="217">
        <f t="shared" si="53"/>
        <v>0</v>
      </c>
      <c r="L59" s="217">
        <f t="shared" si="34"/>
        <v>0</v>
      </c>
      <c r="M59" s="217">
        <f t="shared" si="35"/>
        <v>0</v>
      </c>
      <c r="N59" s="218">
        <f t="shared" si="54"/>
        <v>0</v>
      </c>
      <c r="O59" s="217">
        <f t="shared" si="36"/>
        <v>0</v>
      </c>
      <c r="P59" s="217">
        <f t="shared" si="37"/>
        <v>0</v>
      </c>
      <c r="Q59" s="217">
        <f t="shared" si="38"/>
        <v>0</v>
      </c>
      <c r="R59" s="217">
        <f t="shared" si="39"/>
        <v>0</v>
      </c>
      <c r="S59" s="242">
        <f t="shared" si="40"/>
        <v>0</v>
      </c>
      <c r="T59" s="215">
        <f t="shared" si="41"/>
        <v>1200</v>
      </c>
      <c r="U59" s="215">
        <f t="shared" si="42"/>
        <v>0</v>
      </c>
      <c r="V59" s="243">
        <f t="shared" si="43"/>
        <v>300</v>
      </c>
      <c r="W59" s="225" t="str">
        <f t="shared" si="55"/>
        <v>No</v>
      </c>
      <c r="X59" s="225" t="str">
        <f t="shared" si="56"/>
        <v>No</v>
      </c>
      <c r="Y59" s="225">
        <f>IF(AND('Data Entry'!D$3&gt;=Fermentation!B59,'Data Entry'!D$3&lt;=Fermentation!A59),10,ROUND(Y58*(1+Y$116),0))</f>
        <v>0</v>
      </c>
      <c r="Z59" s="225">
        <f t="shared" si="57"/>
        <v>1200</v>
      </c>
      <c r="AA59" s="225">
        <f t="shared" si="58"/>
        <v>0</v>
      </c>
      <c r="AB59" s="225">
        <f t="shared" si="44"/>
        <v>0</v>
      </c>
      <c r="AC59" s="225">
        <f t="shared" si="45"/>
        <v>0</v>
      </c>
      <c r="AD59" s="226">
        <f t="shared" si="59"/>
        <v>0</v>
      </c>
      <c r="AE59" s="225">
        <f t="shared" si="46"/>
        <v>0</v>
      </c>
      <c r="AF59" s="225">
        <f t="shared" si="47"/>
        <v>0</v>
      </c>
      <c r="AG59" s="225">
        <f t="shared" si="48"/>
        <v>0</v>
      </c>
      <c r="AH59" s="225">
        <f t="shared" si="49"/>
        <v>0</v>
      </c>
    </row>
    <row r="60" spans="1:34" x14ac:dyDescent="0.2">
      <c r="A60" s="222">
        <v>1260</v>
      </c>
      <c r="B60" s="222">
        <v>1237</v>
      </c>
      <c r="C60" s="215">
        <f t="shared" si="30"/>
        <v>0</v>
      </c>
      <c r="D60" s="215">
        <f t="shared" si="31"/>
        <v>1200</v>
      </c>
      <c r="E60" s="215">
        <f t="shared" si="32"/>
        <v>0</v>
      </c>
      <c r="F60" s="215">
        <f t="shared" si="33"/>
        <v>300</v>
      </c>
      <c r="G60" s="217" t="str">
        <f t="shared" si="50"/>
        <v>No</v>
      </c>
      <c r="H60" s="217" t="str">
        <f t="shared" si="51"/>
        <v>No</v>
      </c>
      <c r="I60" s="217">
        <f>IF(AND('Data Entry'!D$2&gt;=Fermentation!B60,'Data Entry'!D$2&lt;=Fermentation!A60,G60="No",H60="No"),10,ROUND(I59*(1+I$116),0))</f>
        <v>0</v>
      </c>
      <c r="J60" s="217">
        <f t="shared" si="52"/>
        <v>1189</v>
      </c>
      <c r="K60" s="217">
        <f t="shared" si="53"/>
        <v>0</v>
      </c>
      <c r="L60" s="217">
        <f t="shared" si="34"/>
        <v>0</v>
      </c>
      <c r="M60" s="217">
        <f t="shared" si="35"/>
        <v>0</v>
      </c>
      <c r="N60" s="218">
        <f t="shared" si="54"/>
        <v>0</v>
      </c>
      <c r="O60" s="217">
        <f t="shared" si="36"/>
        <v>0</v>
      </c>
      <c r="P60" s="217">
        <f t="shared" si="37"/>
        <v>0</v>
      </c>
      <c r="Q60" s="217">
        <f t="shared" si="38"/>
        <v>0</v>
      </c>
      <c r="R60" s="217">
        <f t="shared" si="39"/>
        <v>0</v>
      </c>
      <c r="S60" s="242">
        <f t="shared" si="40"/>
        <v>0</v>
      </c>
      <c r="T60" s="215">
        <f t="shared" si="41"/>
        <v>1200</v>
      </c>
      <c r="U60" s="215">
        <f t="shared" si="42"/>
        <v>0</v>
      </c>
      <c r="V60" s="243">
        <f t="shared" si="43"/>
        <v>300</v>
      </c>
      <c r="W60" s="225" t="str">
        <f t="shared" si="55"/>
        <v>No</v>
      </c>
      <c r="X60" s="225" t="str">
        <f t="shared" si="56"/>
        <v>No</v>
      </c>
      <c r="Y60" s="225">
        <f>IF(AND('Data Entry'!D$3&gt;=Fermentation!B60,'Data Entry'!D$3&lt;=Fermentation!A60),10,ROUND(Y59*(1+Y$116),0))</f>
        <v>0</v>
      </c>
      <c r="Z60" s="225">
        <f t="shared" si="57"/>
        <v>1200</v>
      </c>
      <c r="AA60" s="225">
        <f t="shared" si="58"/>
        <v>0</v>
      </c>
      <c r="AB60" s="225">
        <f t="shared" si="44"/>
        <v>0</v>
      </c>
      <c r="AC60" s="225">
        <f t="shared" si="45"/>
        <v>0</v>
      </c>
      <c r="AD60" s="226">
        <f t="shared" si="59"/>
        <v>0</v>
      </c>
      <c r="AE60" s="225">
        <f t="shared" si="46"/>
        <v>0</v>
      </c>
      <c r="AF60" s="225">
        <f t="shared" si="47"/>
        <v>0</v>
      </c>
      <c r="AG60" s="225">
        <f t="shared" si="48"/>
        <v>0</v>
      </c>
      <c r="AH60" s="225">
        <f t="shared" si="49"/>
        <v>0</v>
      </c>
    </row>
    <row r="61" spans="1:34" x14ac:dyDescent="0.2">
      <c r="A61" s="222">
        <v>1236</v>
      </c>
      <c r="B61" s="222">
        <v>1213</v>
      </c>
      <c r="C61" s="215">
        <f t="shared" si="30"/>
        <v>0</v>
      </c>
      <c r="D61" s="215">
        <f t="shared" si="31"/>
        <v>1200</v>
      </c>
      <c r="E61" s="215">
        <f t="shared" si="32"/>
        <v>0</v>
      </c>
      <c r="F61" s="215">
        <f t="shared" si="33"/>
        <v>300</v>
      </c>
      <c r="G61" s="217" t="str">
        <f t="shared" si="50"/>
        <v>No</v>
      </c>
      <c r="H61" s="217" t="str">
        <f t="shared" si="51"/>
        <v>No</v>
      </c>
      <c r="I61" s="217">
        <f>IF(AND('Data Entry'!D$2&gt;=Fermentation!B61,'Data Entry'!D$2&lt;=Fermentation!A61,G61="No",H61="No"),10,ROUND(I60*(1+I$116),0))</f>
        <v>0</v>
      </c>
      <c r="J61" s="217">
        <f t="shared" si="52"/>
        <v>1189</v>
      </c>
      <c r="K61" s="217">
        <f t="shared" si="53"/>
        <v>0</v>
      </c>
      <c r="L61" s="217">
        <f t="shared" si="34"/>
        <v>0</v>
      </c>
      <c r="M61" s="217">
        <f t="shared" si="35"/>
        <v>0</v>
      </c>
      <c r="N61" s="218">
        <f t="shared" si="54"/>
        <v>0</v>
      </c>
      <c r="O61" s="217">
        <f t="shared" si="36"/>
        <v>0</v>
      </c>
      <c r="P61" s="217">
        <f t="shared" si="37"/>
        <v>0</v>
      </c>
      <c r="Q61" s="217">
        <f t="shared" si="38"/>
        <v>0</v>
      </c>
      <c r="R61" s="217">
        <f t="shared" si="39"/>
        <v>0</v>
      </c>
      <c r="S61" s="242">
        <f t="shared" si="40"/>
        <v>0</v>
      </c>
      <c r="T61" s="215">
        <f t="shared" si="41"/>
        <v>1200</v>
      </c>
      <c r="U61" s="215">
        <f t="shared" si="42"/>
        <v>0</v>
      </c>
      <c r="V61" s="243">
        <f t="shared" si="43"/>
        <v>300</v>
      </c>
      <c r="W61" s="225" t="str">
        <f t="shared" si="55"/>
        <v>No</v>
      </c>
      <c r="X61" s="225" t="str">
        <f t="shared" si="56"/>
        <v>No</v>
      </c>
      <c r="Y61" s="225">
        <f>IF(AND('Data Entry'!D$3&gt;=Fermentation!B61,'Data Entry'!D$3&lt;=Fermentation!A61),10,ROUND(Y60*(1+Y$116),0))</f>
        <v>0</v>
      </c>
      <c r="Z61" s="225">
        <f t="shared" si="57"/>
        <v>1200</v>
      </c>
      <c r="AA61" s="225">
        <f t="shared" si="58"/>
        <v>0</v>
      </c>
      <c r="AB61" s="225">
        <f t="shared" si="44"/>
        <v>0</v>
      </c>
      <c r="AC61" s="225">
        <f t="shared" si="45"/>
        <v>0</v>
      </c>
      <c r="AD61" s="226">
        <f t="shared" si="59"/>
        <v>0</v>
      </c>
      <c r="AE61" s="225">
        <f t="shared" si="46"/>
        <v>0</v>
      </c>
      <c r="AF61" s="225">
        <f t="shared" si="47"/>
        <v>0</v>
      </c>
      <c r="AG61" s="225">
        <f t="shared" si="48"/>
        <v>0</v>
      </c>
      <c r="AH61" s="225">
        <f t="shared" si="49"/>
        <v>0</v>
      </c>
    </row>
    <row r="62" spans="1:34" x14ac:dyDescent="0.2">
      <c r="A62" s="222">
        <v>1212</v>
      </c>
      <c r="B62" s="222">
        <v>1189</v>
      </c>
      <c r="C62" s="215">
        <f t="shared" si="30"/>
        <v>0</v>
      </c>
      <c r="D62" s="215">
        <f t="shared" si="31"/>
        <v>1200</v>
      </c>
      <c r="E62" s="215">
        <f t="shared" si="32"/>
        <v>0</v>
      </c>
      <c r="F62" s="215">
        <f t="shared" si="33"/>
        <v>300</v>
      </c>
      <c r="G62" s="217" t="str">
        <f t="shared" si="50"/>
        <v>No</v>
      </c>
      <c r="H62" s="217" t="str">
        <f t="shared" si="51"/>
        <v>No</v>
      </c>
      <c r="I62" s="217">
        <f>IF(AND('Data Entry'!D$2&gt;=Fermentation!B62,'Data Entry'!D$2&lt;=Fermentation!A62,G62="No",H62="No"),10,ROUND(I61*(1+I$116),0))</f>
        <v>10</v>
      </c>
      <c r="J62" s="217">
        <f t="shared" si="52"/>
        <v>1189</v>
      </c>
      <c r="K62" s="217">
        <f t="shared" si="53"/>
        <v>0</v>
      </c>
      <c r="L62" s="217">
        <f t="shared" si="34"/>
        <v>10</v>
      </c>
      <c r="M62" s="217">
        <f t="shared" si="35"/>
        <v>0</v>
      </c>
      <c r="N62" s="218">
        <f t="shared" si="54"/>
        <v>1</v>
      </c>
      <c r="O62" s="217">
        <f t="shared" si="36"/>
        <v>10</v>
      </c>
      <c r="P62" s="217">
        <f t="shared" si="37"/>
        <v>0</v>
      </c>
      <c r="Q62" s="217">
        <f t="shared" si="38"/>
        <v>0</v>
      </c>
      <c r="R62" s="217">
        <f t="shared" si="39"/>
        <v>0</v>
      </c>
      <c r="S62" s="242">
        <f t="shared" si="40"/>
        <v>10</v>
      </c>
      <c r="T62" s="215">
        <f t="shared" si="41"/>
        <v>1190</v>
      </c>
      <c r="U62" s="215">
        <f t="shared" si="42"/>
        <v>0</v>
      </c>
      <c r="V62" s="243">
        <f t="shared" si="43"/>
        <v>299</v>
      </c>
      <c r="W62" s="225" t="str">
        <f t="shared" si="55"/>
        <v>Yes</v>
      </c>
      <c r="X62" s="225" t="str">
        <f t="shared" si="56"/>
        <v>No</v>
      </c>
      <c r="Y62" s="225">
        <f>IF(AND('Data Entry'!D$3&gt;=Fermentation!B62,'Data Entry'!D$3&lt;=Fermentation!A62),10,ROUND(Y61*(1+Y$116),0))</f>
        <v>0</v>
      </c>
      <c r="Z62" s="225">
        <f t="shared" si="57"/>
        <v>1190</v>
      </c>
      <c r="AA62" s="225">
        <f t="shared" si="58"/>
        <v>0</v>
      </c>
      <c r="AB62" s="225">
        <f t="shared" si="44"/>
        <v>0</v>
      </c>
      <c r="AC62" s="225">
        <f t="shared" si="45"/>
        <v>0</v>
      </c>
      <c r="AD62" s="226">
        <f t="shared" si="59"/>
        <v>0</v>
      </c>
      <c r="AE62" s="225">
        <f t="shared" si="46"/>
        <v>0</v>
      </c>
      <c r="AF62" s="225">
        <f t="shared" si="47"/>
        <v>0</v>
      </c>
      <c r="AG62" s="225">
        <f t="shared" si="48"/>
        <v>0</v>
      </c>
      <c r="AH62" s="225">
        <f t="shared" si="49"/>
        <v>0</v>
      </c>
    </row>
    <row r="63" spans="1:34" x14ac:dyDescent="0.2">
      <c r="A63" s="222">
        <v>1188</v>
      </c>
      <c r="B63" s="222">
        <v>1165</v>
      </c>
      <c r="C63" s="215">
        <f t="shared" si="30"/>
        <v>10</v>
      </c>
      <c r="D63" s="215">
        <f t="shared" si="31"/>
        <v>1190</v>
      </c>
      <c r="E63" s="215">
        <f t="shared" si="32"/>
        <v>0</v>
      </c>
      <c r="F63" s="215">
        <f t="shared" si="33"/>
        <v>299</v>
      </c>
      <c r="G63" s="217" t="str">
        <f t="shared" si="50"/>
        <v>No</v>
      </c>
      <c r="H63" s="217" t="str">
        <f t="shared" si="51"/>
        <v>No</v>
      </c>
      <c r="I63" s="217">
        <f>IF(AND('Data Entry'!D$2&gt;=Fermentation!B63,'Data Entry'!D$2&lt;=Fermentation!A63,G63="No",H63="No"),10,ROUND(I62*(1+I$116),0))</f>
        <v>14</v>
      </c>
      <c r="J63" s="217">
        <f t="shared" si="52"/>
        <v>1179</v>
      </c>
      <c r="K63" s="217">
        <f t="shared" si="53"/>
        <v>0</v>
      </c>
      <c r="L63" s="217">
        <f t="shared" si="34"/>
        <v>14</v>
      </c>
      <c r="M63" s="217">
        <f t="shared" si="35"/>
        <v>0</v>
      </c>
      <c r="N63" s="218">
        <f t="shared" si="54"/>
        <v>1</v>
      </c>
      <c r="O63" s="217">
        <f t="shared" si="36"/>
        <v>14</v>
      </c>
      <c r="P63" s="217">
        <f t="shared" si="37"/>
        <v>0</v>
      </c>
      <c r="Q63" s="217">
        <f t="shared" si="38"/>
        <v>0</v>
      </c>
      <c r="R63" s="217">
        <f t="shared" si="39"/>
        <v>0</v>
      </c>
      <c r="S63" s="242">
        <f t="shared" si="40"/>
        <v>24</v>
      </c>
      <c r="T63" s="215">
        <f t="shared" si="41"/>
        <v>1176</v>
      </c>
      <c r="U63" s="215">
        <f t="shared" si="42"/>
        <v>0</v>
      </c>
      <c r="V63" s="243">
        <f t="shared" si="43"/>
        <v>298</v>
      </c>
      <c r="W63" s="225" t="str">
        <f t="shared" si="55"/>
        <v>Yes</v>
      </c>
      <c r="X63" s="225" t="str">
        <f t="shared" si="56"/>
        <v>No</v>
      </c>
      <c r="Y63" s="225">
        <f>IF(AND('Data Entry'!D$3&gt;=Fermentation!B63,'Data Entry'!D$3&lt;=Fermentation!A63),10,ROUND(Y62*(1+Y$116),0))</f>
        <v>0</v>
      </c>
      <c r="Z63" s="225">
        <f t="shared" si="57"/>
        <v>1176</v>
      </c>
      <c r="AA63" s="225">
        <f t="shared" si="58"/>
        <v>0</v>
      </c>
      <c r="AB63" s="225">
        <f t="shared" si="44"/>
        <v>0</v>
      </c>
      <c r="AC63" s="225">
        <f t="shared" si="45"/>
        <v>0</v>
      </c>
      <c r="AD63" s="226">
        <f t="shared" si="59"/>
        <v>0</v>
      </c>
      <c r="AE63" s="225">
        <f t="shared" si="46"/>
        <v>0</v>
      </c>
      <c r="AF63" s="225">
        <f t="shared" si="47"/>
        <v>0</v>
      </c>
      <c r="AG63" s="225">
        <f t="shared" si="48"/>
        <v>0</v>
      </c>
      <c r="AH63" s="225">
        <f t="shared" si="49"/>
        <v>0</v>
      </c>
    </row>
    <row r="64" spans="1:34" x14ac:dyDescent="0.2">
      <c r="A64" s="222">
        <v>1164</v>
      </c>
      <c r="B64" s="222">
        <v>1141</v>
      </c>
      <c r="C64" s="215">
        <f t="shared" si="30"/>
        <v>24</v>
      </c>
      <c r="D64" s="215">
        <f t="shared" si="31"/>
        <v>1176</v>
      </c>
      <c r="E64" s="215">
        <f t="shared" si="32"/>
        <v>0</v>
      </c>
      <c r="F64" s="215">
        <f t="shared" si="33"/>
        <v>298</v>
      </c>
      <c r="G64" s="217" t="str">
        <f t="shared" si="50"/>
        <v>No</v>
      </c>
      <c r="H64" s="217" t="str">
        <f t="shared" si="51"/>
        <v>No</v>
      </c>
      <c r="I64" s="217">
        <f>IF(AND('Data Entry'!D$2&gt;=Fermentation!B64,'Data Entry'!D$2&lt;=Fermentation!A64,G64="No",H64="No"),10,ROUND(I63*(1+I$116),0))</f>
        <v>20</v>
      </c>
      <c r="J64" s="217">
        <f t="shared" si="52"/>
        <v>1165</v>
      </c>
      <c r="K64" s="217">
        <f t="shared" si="53"/>
        <v>0</v>
      </c>
      <c r="L64" s="217">
        <f t="shared" si="34"/>
        <v>20</v>
      </c>
      <c r="M64" s="217">
        <f t="shared" si="35"/>
        <v>0</v>
      </c>
      <c r="N64" s="218">
        <f t="shared" si="54"/>
        <v>2</v>
      </c>
      <c r="O64" s="217">
        <f t="shared" si="36"/>
        <v>20</v>
      </c>
      <c r="P64" s="217">
        <f t="shared" si="37"/>
        <v>0</v>
      </c>
      <c r="Q64" s="217">
        <f t="shared" si="38"/>
        <v>0</v>
      </c>
      <c r="R64" s="217">
        <f t="shared" si="39"/>
        <v>0</v>
      </c>
      <c r="S64" s="242">
        <f t="shared" si="40"/>
        <v>44</v>
      </c>
      <c r="T64" s="215">
        <f t="shared" si="41"/>
        <v>1156</v>
      </c>
      <c r="U64" s="215">
        <f t="shared" si="42"/>
        <v>0</v>
      </c>
      <c r="V64" s="243">
        <f t="shared" si="43"/>
        <v>296</v>
      </c>
      <c r="W64" s="225" t="str">
        <f t="shared" si="55"/>
        <v>Yes</v>
      </c>
      <c r="X64" s="225" t="str">
        <f t="shared" si="56"/>
        <v>No</v>
      </c>
      <c r="Y64" s="225">
        <f>IF(AND('Data Entry'!D$3&gt;=Fermentation!B64,'Data Entry'!D$3&lt;=Fermentation!A64),10,ROUND(Y63*(1+Y$116),0))</f>
        <v>0</v>
      </c>
      <c r="Z64" s="225">
        <f t="shared" si="57"/>
        <v>1156</v>
      </c>
      <c r="AA64" s="225">
        <f t="shared" si="58"/>
        <v>0</v>
      </c>
      <c r="AB64" s="225">
        <f t="shared" si="44"/>
        <v>0</v>
      </c>
      <c r="AC64" s="225">
        <f t="shared" si="45"/>
        <v>0</v>
      </c>
      <c r="AD64" s="226">
        <f t="shared" si="59"/>
        <v>0</v>
      </c>
      <c r="AE64" s="225">
        <f t="shared" si="46"/>
        <v>0</v>
      </c>
      <c r="AF64" s="225">
        <f t="shared" si="47"/>
        <v>0</v>
      </c>
      <c r="AG64" s="225">
        <f t="shared" si="48"/>
        <v>0</v>
      </c>
      <c r="AH64" s="225">
        <f t="shared" si="49"/>
        <v>0</v>
      </c>
    </row>
    <row r="65" spans="1:34" x14ac:dyDescent="0.2">
      <c r="A65" s="222">
        <v>1140</v>
      </c>
      <c r="B65" s="222">
        <v>1117</v>
      </c>
      <c r="C65" s="215">
        <f t="shared" si="30"/>
        <v>44</v>
      </c>
      <c r="D65" s="215">
        <f t="shared" si="31"/>
        <v>1156</v>
      </c>
      <c r="E65" s="215">
        <f t="shared" si="32"/>
        <v>0</v>
      </c>
      <c r="F65" s="215">
        <f t="shared" si="33"/>
        <v>296</v>
      </c>
      <c r="G65" s="217" t="str">
        <f t="shared" si="50"/>
        <v>No</v>
      </c>
      <c r="H65" s="217" t="str">
        <f t="shared" si="51"/>
        <v>No</v>
      </c>
      <c r="I65" s="217">
        <f>IF(AND('Data Entry'!D$2&gt;=Fermentation!B65,'Data Entry'!D$2&lt;=Fermentation!A65,G65="No",H65="No"),10,ROUND(I64*(1+I$116),0))</f>
        <v>28</v>
      </c>
      <c r="J65" s="217">
        <f t="shared" si="52"/>
        <v>1145</v>
      </c>
      <c r="K65" s="217">
        <f t="shared" si="53"/>
        <v>0</v>
      </c>
      <c r="L65" s="217">
        <f t="shared" si="34"/>
        <v>28</v>
      </c>
      <c r="M65" s="217">
        <f t="shared" si="35"/>
        <v>0</v>
      </c>
      <c r="N65" s="218">
        <f t="shared" si="54"/>
        <v>3</v>
      </c>
      <c r="O65" s="217">
        <f t="shared" si="36"/>
        <v>28</v>
      </c>
      <c r="P65" s="217">
        <f t="shared" si="37"/>
        <v>0</v>
      </c>
      <c r="Q65" s="217">
        <f t="shared" si="38"/>
        <v>0</v>
      </c>
      <c r="R65" s="217">
        <f t="shared" si="39"/>
        <v>0</v>
      </c>
      <c r="S65" s="242">
        <f t="shared" si="40"/>
        <v>72</v>
      </c>
      <c r="T65" s="215">
        <f t="shared" si="41"/>
        <v>1128</v>
      </c>
      <c r="U65" s="215">
        <f t="shared" si="42"/>
        <v>0</v>
      </c>
      <c r="V65" s="243">
        <f t="shared" si="43"/>
        <v>293</v>
      </c>
      <c r="W65" s="225" t="str">
        <f t="shared" si="55"/>
        <v>Yes</v>
      </c>
      <c r="X65" s="225" t="str">
        <f t="shared" si="56"/>
        <v>No</v>
      </c>
      <c r="Y65" s="225">
        <f>IF(AND('Data Entry'!D$3&gt;=Fermentation!B65,'Data Entry'!D$3&lt;=Fermentation!A65),10,ROUND(Y64*(1+Y$116),0))</f>
        <v>0</v>
      </c>
      <c r="Z65" s="225">
        <f t="shared" si="57"/>
        <v>1128</v>
      </c>
      <c r="AA65" s="225">
        <f t="shared" si="58"/>
        <v>0</v>
      </c>
      <c r="AB65" s="225">
        <f t="shared" si="44"/>
        <v>0</v>
      </c>
      <c r="AC65" s="225">
        <f t="shared" si="45"/>
        <v>0</v>
      </c>
      <c r="AD65" s="226">
        <f t="shared" si="59"/>
        <v>0</v>
      </c>
      <c r="AE65" s="225">
        <f t="shared" si="46"/>
        <v>0</v>
      </c>
      <c r="AF65" s="225">
        <f t="shared" si="47"/>
        <v>0</v>
      </c>
      <c r="AG65" s="225">
        <f t="shared" si="48"/>
        <v>0</v>
      </c>
      <c r="AH65" s="225">
        <f t="shared" si="49"/>
        <v>0</v>
      </c>
    </row>
    <row r="66" spans="1:34" x14ac:dyDescent="0.2">
      <c r="A66" s="222">
        <v>1116</v>
      </c>
      <c r="B66" s="222">
        <v>1093</v>
      </c>
      <c r="C66" s="215">
        <f t="shared" si="30"/>
        <v>72</v>
      </c>
      <c r="D66" s="215">
        <f t="shared" si="31"/>
        <v>1128</v>
      </c>
      <c r="E66" s="215">
        <f t="shared" si="32"/>
        <v>0</v>
      </c>
      <c r="F66" s="215">
        <f t="shared" si="33"/>
        <v>293</v>
      </c>
      <c r="G66" s="217" t="str">
        <f t="shared" si="50"/>
        <v>No</v>
      </c>
      <c r="H66" s="217" t="str">
        <f t="shared" si="51"/>
        <v>No</v>
      </c>
      <c r="I66" s="217">
        <f>IF(AND('Data Entry'!D$2&gt;=Fermentation!B66,'Data Entry'!D$2&lt;=Fermentation!A66,G66="No",H66="No"),10,ROUND(I65*(1+I$116),0))</f>
        <v>39</v>
      </c>
      <c r="J66" s="217">
        <f t="shared" si="52"/>
        <v>1117</v>
      </c>
      <c r="K66" s="217">
        <f t="shared" si="53"/>
        <v>0</v>
      </c>
      <c r="L66" s="217">
        <f t="shared" si="34"/>
        <v>39</v>
      </c>
      <c r="M66" s="217">
        <f t="shared" si="35"/>
        <v>0</v>
      </c>
      <c r="N66" s="218">
        <f t="shared" si="54"/>
        <v>4</v>
      </c>
      <c r="O66" s="217">
        <f t="shared" si="36"/>
        <v>39</v>
      </c>
      <c r="P66" s="217">
        <f t="shared" si="37"/>
        <v>0</v>
      </c>
      <c r="Q66" s="217">
        <f t="shared" si="38"/>
        <v>0</v>
      </c>
      <c r="R66" s="217">
        <f t="shared" si="39"/>
        <v>0</v>
      </c>
      <c r="S66" s="242">
        <f t="shared" si="40"/>
        <v>111</v>
      </c>
      <c r="T66" s="215">
        <f t="shared" si="41"/>
        <v>1089</v>
      </c>
      <c r="U66" s="215">
        <f t="shared" si="42"/>
        <v>0</v>
      </c>
      <c r="V66" s="243">
        <f t="shared" si="43"/>
        <v>289</v>
      </c>
      <c r="W66" s="225" t="str">
        <f t="shared" si="55"/>
        <v>Yes</v>
      </c>
      <c r="X66" s="225" t="str">
        <f t="shared" si="56"/>
        <v>No</v>
      </c>
      <c r="Y66" s="225">
        <f>IF(AND('Data Entry'!D$3&gt;=Fermentation!B66,'Data Entry'!D$3&lt;=Fermentation!A66),10,ROUND(Y65*(1+Y$116),0))</f>
        <v>0</v>
      </c>
      <c r="Z66" s="225">
        <f t="shared" si="57"/>
        <v>1089</v>
      </c>
      <c r="AA66" s="225">
        <f t="shared" si="58"/>
        <v>0</v>
      </c>
      <c r="AB66" s="225">
        <f t="shared" si="44"/>
        <v>0</v>
      </c>
      <c r="AC66" s="225">
        <f t="shared" si="45"/>
        <v>0</v>
      </c>
      <c r="AD66" s="226">
        <f t="shared" si="59"/>
        <v>0</v>
      </c>
      <c r="AE66" s="225">
        <f t="shared" si="46"/>
        <v>0</v>
      </c>
      <c r="AF66" s="225">
        <f t="shared" si="47"/>
        <v>0</v>
      </c>
      <c r="AG66" s="225">
        <f t="shared" si="48"/>
        <v>0</v>
      </c>
      <c r="AH66" s="225">
        <f t="shared" si="49"/>
        <v>0</v>
      </c>
    </row>
    <row r="67" spans="1:34" x14ac:dyDescent="0.2">
      <c r="A67" s="222">
        <v>1092</v>
      </c>
      <c r="B67" s="222">
        <v>1069</v>
      </c>
      <c r="C67" s="215">
        <f t="shared" si="30"/>
        <v>111</v>
      </c>
      <c r="D67" s="215">
        <f t="shared" si="31"/>
        <v>1089</v>
      </c>
      <c r="E67" s="215">
        <f t="shared" si="32"/>
        <v>0</v>
      </c>
      <c r="F67" s="215">
        <f t="shared" si="33"/>
        <v>289</v>
      </c>
      <c r="G67" s="217" t="str">
        <f t="shared" si="50"/>
        <v>No</v>
      </c>
      <c r="H67" s="217" t="str">
        <f t="shared" si="51"/>
        <v>No</v>
      </c>
      <c r="I67" s="217">
        <f>IF(AND('Data Entry'!D$2&gt;=Fermentation!B67,'Data Entry'!D$2&lt;=Fermentation!A67,G67="No",H67="No"),10,ROUND(I66*(1+I$116),0))</f>
        <v>55</v>
      </c>
      <c r="J67" s="217">
        <f t="shared" si="52"/>
        <v>1078</v>
      </c>
      <c r="K67" s="217">
        <f t="shared" si="53"/>
        <v>0</v>
      </c>
      <c r="L67" s="217">
        <f t="shared" si="34"/>
        <v>55</v>
      </c>
      <c r="M67" s="217">
        <f t="shared" si="35"/>
        <v>0</v>
      </c>
      <c r="N67" s="218">
        <f t="shared" si="54"/>
        <v>6</v>
      </c>
      <c r="O67" s="217">
        <f t="shared" si="36"/>
        <v>55</v>
      </c>
      <c r="P67" s="217">
        <f t="shared" si="37"/>
        <v>0</v>
      </c>
      <c r="Q67" s="217">
        <f t="shared" si="38"/>
        <v>0</v>
      </c>
      <c r="R67" s="217">
        <f t="shared" si="39"/>
        <v>0</v>
      </c>
      <c r="S67" s="242">
        <f t="shared" si="40"/>
        <v>166</v>
      </c>
      <c r="T67" s="215">
        <f t="shared" si="41"/>
        <v>1034</v>
      </c>
      <c r="U67" s="215">
        <f t="shared" si="42"/>
        <v>0</v>
      </c>
      <c r="V67" s="243">
        <f t="shared" si="43"/>
        <v>283</v>
      </c>
      <c r="W67" s="225" t="str">
        <f t="shared" si="55"/>
        <v>Yes</v>
      </c>
      <c r="X67" s="225" t="str">
        <f t="shared" si="56"/>
        <v>No</v>
      </c>
      <c r="Y67" s="225">
        <f>IF(AND('Data Entry'!D$3&gt;=Fermentation!B67,'Data Entry'!D$3&lt;=Fermentation!A67),10,ROUND(Y66*(1+Y$116),0))</f>
        <v>0</v>
      </c>
      <c r="Z67" s="225">
        <f t="shared" si="57"/>
        <v>1034</v>
      </c>
      <c r="AA67" s="225">
        <f t="shared" si="58"/>
        <v>0</v>
      </c>
      <c r="AB67" s="225">
        <f t="shared" si="44"/>
        <v>0</v>
      </c>
      <c r="AC67" s="225">
        <f t="shared" si="45"/>
        <v>0</v>
      </c>
      <c r="AD67" s="226">
        <f t="shared" si="59"/>
        <v>0</v>
      </c>
      <c r="AE67" s="225">
        <f t="shared" si="46"/>
        <v>0</v>
      </c>
      <c r="AF67" s="225">
        <f t="shared" si="47"/>
        <v>0</v>
      </c>
      <c r="AG67" s="225">
        <f t="shared" si="48"/>
        <v>0</v>
      </c>
      <c r="AH67" s="225">
        <f t="shared" si="49"/>
        <v>0</v>
      </c>
    </row>
    <row r="68" spans="1:34" x14ac:dyDescent="0.2">
      <c r="A68" s="222">
        <v>1068</v>
      </c>
      <c r="B68" s="222">
        <v>1045</v>
      </c>
      <c r="C68" s="215">
        <f t="shared" si="30"/>
        <v>166</v>
      </c>
      <c r="D68" s="215">
        <f t="shared" si="31"/>
        <v>1034</v>
      </c>
      <c r="E68" s="215">
        <f t="shared" si="32"/>
        <v>0</v>
      </c>
      <c r="F68" s="215">
        <f t="shared" si="33"/>
        <v>283</v>
      </c>
      <c r="G68" s="217" t="str">
        <f t="shared" si="50"/>
        <v>No</v>
      </c>
      <c r="H68" s="217" t="str">
        <f t="shared" si="51"/>
        <v>No</v>
      </c>
      <c r="I68" s="217">
        <f>IF(AND('Data Entry'!D$2&gt;=Fermentation!B68,'Data Entry'!D$2&lt;=Fermentation!A68,G68="No",H68="No"),10,ROUND(I67*(1+I$116),0))</f>
        <v>77</v>
      </c>
      <c r="J68" s="217">
        <f t="shared" si="52"/>
        <v>1023</v>
      </c>
      <c r="K68" s="217">
        <f t="shared" si="53"/>
        <v>0</v>
      </c>
      <c r="L68" s="217">
        <f t="shared" si="34"/>
        <v>77</v>
      </c>
      <c r="M68" s="217">
        <f t="shared" si="35"/>
        <v>0</v>
      </c>
      <c r="N68" s="218">
        <f t="shared" si="54"/>
        <v>9</v>
      </c>
      <c r="O68" s="217">
        <f t="shared" si="36"/>
        <v>77</v>
      </c>
      <c r="P68" s="217">
        <f t="shared" si="37"/>
        <v>0</v>
      </c>
      <c r="Q68" s="217">
        <f t="shared" si="38"/>
        <v>0</v>
      </c>
      <c r="R68" s="217">
        <f t="shared" si="39"/>
        <v>0</v>
      </c>
      <c r="S68" s="242">
        <f t="shared" si="40"/>
        <v>243</v>
      </c>
      <c r="T68" s="215">
        <f t="shared" si="41"/>
        <v>957</v>
      </c>
      <c r="U68" s="215">
        <f t="shared" si="42"/>
        <v>0</v>
      </c>
      <c r="V68" s="243">
        <f t="shared" si="43"/>
        <v>274</v>
      </c>
      <c r="W68" s="225" t="str">
        <f t="shared" si="55"/>
        <v>Yes</v>
      </c>
      <c r="X68" s="225" t="str">
        <f t="shared" si="56"/>
        <v>No</v>
      </c>
      <c r="Y68" s="225">
        <f>IF(AND('Data Entry'!D$3&gt;=Fermentation!B68,'Data Entry'!D$3&lt;=Fermentation!A68),10,ROUND(Y67*(1+Y$116),0))</f>
        <v>0</v>
      </c>
      <c r="Z68" s="225">
        <f t="shared" si="57"/>
        <v>957</v>
      </c>
      <c r="AA68" s="225">
        <f t="shared" si="58"/>
        <v>0</v>
      </c>
      <c r="AB68" s="225">
        <f t="shared" si="44"/>
        <v>0</v>
      </c>
      <c r="AC68" s="225">
        <f t="shared" si="45"/>
        <v>0</v>
      </c>
      <c r="AD68" s="226">
        <f t="shared" si="59"/>
        <v>0</v>
      </c>
      <c r="AE68" s="225">
        <f t="shared" si="46"/>
        <v>0</v>
      </c>
      <c r="AF68" s="225">
        <f t="shared" si="47"/>
        <v>0</v>
      </c>
      <c r="AG68" s="225">
        <f t="shared" si="48"/>
        <v>0</v>
      </c>
      <c r="AH68" s="225">
        <f t="shared" si="49"/>
        <v>0</v>
      </c>
    </row>
    <row r="69" spans="1:34" x14ac:dyDescent="0.2">
      <c r="A69" s="222">
        <v>1044</v>
      </c>
      <c r="B69" s="222">
        <v>1021</v>
      </c>
      <c r="C69" s="215">
        <f t="shared" si="30"/>
        <v>243</v>
      </c>
      <c r="D69" s="215">
        <f t="shared" si="31"/>
        <v>957</v>
      </c>
      <c r="E69" s="215">
        <f t="shared" si="32"/>
        <v>0</v>
      </c>
      <c r="F69" s="215">
        <f t="shared" si="33"/>
        <v>274</v>
      </c>
      <c r="G69" s="217" t="str">
        <f t="shared" si="50"/>
        <v>No</v>
      </c>
      <c r="H69" s="217" t="str">
        <f t="shared" si="51"/>
        <v>No</v>
      </c>
      <c r="I69" s="217">
        <f>IF(AND('Data Entry'!D$2&gt;=Fermentation!B69,'Data Entry'!D$2&lt;=Fermentation!A69,G69="No",H69="No"),10,ROUND(I68*(1+I$116),0))</f>
        <v>108</v>
      </c>
      <c r="J69" s="217">
        <f t="shared" si="52"/>
        <v>946</v>
      </c>
      <c r="K69" s="217">
        <f t="shared" si="53"/>
        <v>0</v>
      </c>
      <c r="L69" s="217">
        <f t="shared" si="34"/>
        <v>108</v>
      </c>
      <c r="M69" s="217">
        <f t="shared" si="35"/>
        <v>0</v>
      </c>
      <c r="N69" s="218">
        <f t="shared" si="54"/>
        <v>13</v>
      </c>
      <c r="O69" s="217">
        <f t="shared" si="36"/>
        <v>108</v>
      </c>
      <c r="P69" s="217">
        <f t="shared" si="37"/>
        <v>0</v>
      </c>
      <c r="Q69" s="217">
        <f t="shared" si="38"/>
        <v>0</v>
      </c>
      <c r="R69" s="217">
        <f t="shared" si="39"/>
        <v>0</v>
      </c>
      <c r="S69" s="242">
        <f t="shared" si="40"/>
        <v>351</v>
      </c>
      <c r="T69" s="215">
        <f t="shared" si="41"/>
        <v>849</v>
      </c>
      <c r="U69" s="215">
        <f t="shared" si="42"/>
        <v>0</v>
      </c>
      <c r="V69" s="243">
        <f t="shared" si="43"/>
        <v>261</v>
      </c>
      <c r="W69" s="225" t="str">
        <f t="shared" si="55"/>
        <v>Yes</v>
      </c>
      <c r="X69" s="225" t="str">
        <f t="shared" si="56"/>
        <v>No</v>
      </c>
      <c r="Y69" s="225">
        <f>IF(AND('Data Entry'!D$3&gt;=Fermentation!B69,'Data Entry'!D$3&lt;=Fermentation!A69),10,ROUND(Y68*(1+Y$116),0))</f>
        <v>0</v>
      </c>
      <c r="Z69" s="225">
        <f t="shared" si="57"/>
        <v>849</v>
      </c>
      <c r="AA69" s="225">
        <f t="shared" si="58"/>
        <v>0</v>
      </c>
      <c r="AB69" s="225">
        <f t="shared" si="44"/>
        <v>0</v>
      </c>
      <c r="AC69" s="225">
        <f t="shared" si="45"/>
        <v>0</v>
      </c>
      <c r="AD69" s="226">
        <f t="shared" si="59"/>
        <v>0</v>
      </c>
      <c r="AE69" s="225">
        <f t="shared" si="46"/>
        <v>0</v>
      </c>
      <c r="AF69" s="225">
        <f t="shared" si="47"/>
        <v>0</v>
      </c>
      <c r="AG69" s="225">
        <f t="shared" si="48"/>
        <v>0</v>
      </c>
      <c r="AH69" s="225">
        <f t="shared" si="49"/>
        <v>0</v>
      </c>
    </row>
    <row r="70" spans="1:34" x14ac:dyDescent="0.2">
      <c r="A70" s="222">
        <v>1020</v>
      </c>
      <c r="B70" s="222">
        <v>997</v>
      </c>
      <c r="C70" s="215">
        <f t="shared" si="30"/>
        <v>351</v>
      </c>
      <c r="D70" s="215">
        <f t="shared" si="31"/>
        <v>849</v>
      </c>
      <c r="E70" s="215">
        <f t="shared" si="32"/>
        <v>0</v>
      </c>
      <c r="F70" s="215">
        <f t="shared" si="33"/>
        <v>261</v>
      </c>
      <c r="G70" s="217" t="str">
        <f t="shared" si="50"/>
        <v>No</v>
      </c>
      <c r="H70" s="217" t="str">
        <f t="shared" si="51"/>
        <v>No</v>
      </c>
      <c r="I70" s="217">
        <f>IF(AND('Data Entry'!D$2&gt;=Fermentation!B70,'Data Entry'!D$2&lt;=Fermentation!A70,G70="No",H70="No"),10,ROUND(I69*(1+I$116),0))</f>
        <v>151</v>
      </c>
      <c r="J70" s="217">
        <f t="shared" si="52"/>
        <v>838</v>
      </c>
      <c r="K70" s="217">
        <f t="shared" si="53"/>
        <v>0</v>
      </c>
      <c r="L70" s="217">
        <f t="shared" si="34"/>
        <v>151</v>
      </c>
      <c r="M70" s="217">
        <f t="shared" si="35"/>
        <v>0</v>
      </c>
      <c r="N70" s="218">
        <f t="shared" si="54"/>
        <v>18</v>
      </c>
      <c r="O70" s="217">
        <f t="shared" si="36"/>
        <v>151</v>
      </c>
      <c r="P70" s="217">
        <f t="shared" si="37"/>
        <v>0</v>
      </c>
      <c r="Q70" s="217">
        <f t="shared" si="38"/>
        <v>0</v>
      </c>
      <c r="R70" s="217">
        <f t="shared" si="39"/>
        <v>0</v>
      </c>
      <c r="S70" s="242">
        <f t="shared" si="40"/>
        <v>502</v>
      </c>
      <c r="T70" s="215">
        <f t="shared" si="41"/>
        <v>698</v>
      </c>
      <c r="U70" s="215">
        <f t="shared" si="42"/>
        <v>0</v>
      </c>
      <c r="V70" s="243">
        <f t="shared" si="43"/>
        <v>243</v>
      </c>
      <c r="W70" s="225" t="str">
        <f t="shared" si="55"/>
        <v>Yes</v>
      </c>
      <c r="X70" s="225" t="str">
        <f t="shared" si="56"/>
        <v>No</v>
      </c>
      <c r="Y70" s="225">
        <f>IF(AND('Data Entry'!D$3&gt;=Fermentation!B70,'Data Entry'!D$3&lt;=Fermentation!A70),10,ROUND(Y69*(1+Y$116),0))</f>
        <v>0</v>
      </c>
      <c r="Z70" s="225">
        <f t="shared" si="57"/>
        <v>698</v>
      </c>
      <c r="AA70" s="225">
        <f t="shared" si="58"/>
        <v>0</v>
      </c>
      <c r="AB70" s="225">
        <f t="shared" si="44"/>
        <v>0</v>
      </c>
      <c r="AC70" s="225">
        <f t="shared" si="45"/>
        <v>0</v>
      </c>
      <c r="AD70" s="226">
        <f t="shared" si="59"/>
        <v>0</v>
      </c>
      <c r="AE70" s="225">
        <f t="shared" si="46"/>
        <v>0</v>
      </c>
      <c r="AF70" s="225">
        <f t="shared" si="47"/>
        <v>0</v>
      </c>
      <c r="AG70" s="225">
        <f t="shared" si="48"/>
        <v>0</v>
      </c>
      <c r="AH70" s="225">
        <f t="shared" si="49"/>
        <v>0</v>
      </c>
    </row>
    <row r="71" spans="1:34" x14ac:dyDescent="0.2">
      <c r="A71" s="222">
        <v>996</v>
      </c>
      <c r="B71" s="222">
        <v>973</v>
      </c>
      <c r="C71" s="215">
        <f t="shared" si="30"/>
        <v>502</v>
      </c>
      <c r="D71" s="215">
        <f t="shared" si="31"/>
        <v>698</v>
      </c>
      <c r="E71" s="215">
        <f t="shared" si="32"/>
        <v>0</v>
      </c>
      <c r="F71" s="215">
        <f t="shared" si="33"/>
        <v>243</v>
      </c>
      <c r="G71" s="217" t="str">
        <f t="shared" si="50"/>
        <v>No</v>
      </c>
      <c r="H71" s="217" t="str">
        <f t="shared" si="51"/>
        <v>No</v>
      </c>
      <c r="I71" s="217">
        <f>IF(AND('Data Entry'!D$2&gt;=Fermentation!B71,'Data Entry'!D$2&lt;=Fermentation!A71,G71="No",H71="No"),10,ROUND(I70*(1+I$116),0))</f>
        <v>211</v>
      </c>
      <c r="J71" s="217">
        <f t="shared" si="52"/>
        <v>687</v>
      </c>
      <c r="K71" s="217">
        <f t="shared" si="53"/>
        <v>0</v>
      </c>
      <c r="L71" s="217">
        <f t="shared" si="34"/>
        <v>211</v>
      </c>
      <c r="M71" s="217">
        <f t="shared" si="35"/>
        <v>0</v>
      </c>
      <c r="N71" s="218">
        <f t="shared" si="54"/>
        <v>26</v>
      </c>
      <c r="O71" s="217">
        <f t="shared" si="36"/>
        <v>211</v>
      </c>
      <c r="P71" s="217">
        <f t="shared" si="37"/>
        <v>0</v>
      </c>
      <c r="Q71" s="217">
        <f t="shared" si="38"/>
        <v>0</v>
      </c>
      <c r="R71" s="217">
        <f t="shared" si="39"/>
        <v>0</v>
      </c>
      <c r="S71" s="242">
        <f t="shared" si="40"/>
        <v>713</v>
      </c>
      <c r="T71" s="215">
        <f t="shared" si="41"/>
        <v>487</v>
      </c>
      <c r="U71" s="215">
        <f t="shared" si="42"/>
        <v>0</v>
      </c>
      <c r="V71" s="243">
        <f t="shared" si="43"/>
        <v>217</v>
      </c>
      <c r="W71" s="225" t="str">
        <f t="shared" si="55"/>
        <v>Yes</v>
      </c>
      <c r="X71" s="225" t="str">
        <f t="shared" si="56"/>
        <v>No</v>
      </c>
      <c r="Y71" s="225">
        <f>IF(AND('Data Entry'!D$3&gt;=Fermentation!B71,'Data Entry'!D$3&lt;=Fermentation!A71),10,ROUND(Y70*(1+Y$116),0))</f>
        <v>0</v>
      </c>
      <c r="Z71" s="225">
        <f t="shared" si="57"/>
        <v>487</v>
      </c>
      <c r="AA71" s="225">
        <f t="shared" si="58"/>
        <v>0</v>
      </c>
      <c r="AB71" s="225">
        <f t="shared" si="44"/>
        <v>0</v>
      </c>
      <c r="AC71" s="225">
        <f t="shared" si="45"/>
        <v>0</v>
      </c>
      <c r="AD71" s="226">
        <f t="shared" si="59"/>
        <v>0</v>
      </c>
      <c r="AE71" s="225">
        <f t="shared" si="46"/>
        <v>0</v>
      </c>
      <c r="AF71" s="225">
        <f t="shared" si="47"/>
        <v>0</v>
      </c>
      <c r="AG71" s="225">
        <f t="shared" si="48"/>
        <v>0</v>
      </c>
      <c r="AH71" s="225">
        <f t="shared" si="49"/>
        <v>0</v>
      </c>
    </row>
    <row r="72" spans="1:34" x14ac:dyDescent="0.2">
      <c r="A72" s="222">
        <v>972</v>
      </c>
      <c r="B72" s="222">
        <v>949</v>
      </c>
      <c r="C72" s="215">
        <f t="shared" si="30"/>
        <v>713</v>
      </c>
      <c r="D72" s="215">
        <f t="shared" si="31"/>
        <v>487</v>
      </c>
      <c r="E72" s="215">
        <f t="shared" si="32"/>
        <v>0</v>
      </c>
      <c r="F72" s="215">
        <f t="shared" si="33"/>
        <v>217</v>
      </c>
      <c r="G72" s="217" t="str">
        <f t="shared" si="50"/>
        <v>No</v>
      </c>
      <c r="H72" s="217" t="str">
        <f t="shared" si="51"/>
        <v>No</v>
      </c>
      <c r="I72" s="217">
        <f>IF(AND('Data Entry'!D$2&gt;=Fermentation!B72,'Data Entry'!D$2&lt;=Fermentation!A72,G72="No",H72="No"),10,ROUND(I71*(1+I$116),0))</f>
        <v>295</v>
      </c>
      <c r="J72" s="217">
        <f t="shared" si="52"/>
        <v>476</v>
      </c>
      <c r="K72" s="217">
        <f t="shared" si="53"/>
        <v>0</v>
      </c>
      <c r="L72" s="217">
        <f t="shared" si="34"/>
        <v>295</v>
      </c>
      <c r="M72" s="217">
        <f t="shared" si="35"/>
        <v>0</v>
      </c>
      <c r="N72" s="218">
        <f t="shared" si="54"/>
        <v>36</v>
      </c>
      <c r="O72" s="217">
        <f t="shared" si="36"/>
        <v>295</v>
      </c>
      <c r="P72" s="217">
        <f t="shared" si="37"/>
        <v>0</v>
      </c>
      <c r="Q72" s="217">
        <f t="shared" si="38"/>
        <v>0</v>
      </c>
      <c r="R72" s="217">
        <f t="shared" si="39"/>
        <v>0</v>
      </c>
      <c r="S72" s="242">
        <f t="shared" si="40"/>
        <v>1008</v>
      </c>
      <c r="T72" s="215">
        <f t="shared" si="41"/>
        <v>192</v>
      </c>
      <c r="U72" s="215">
        <f t="shared" si="42"/>
        <v>0</v>
      </c>
      <c r="V72" s="243">
        <f t="shared" si="43"/>
        <v>181</v>
      </c>
      <c r="W72" s="225" t="str">
        <f t="shared" si="55"/>
        <v>Yes</v>
      </c>
      <c r="X72" s="225" t="str">
        <f t="shared" si="56"/>
        <v>No</v>
      </c>
      <c r="Y72" s="225">
        <f>IF(AND('Data Entry'!D$3&gt;=Fermentation!B72,'Data Entry'!D$3&lt;=Fermentation!A72),10,ROUND(Y71*(1+Y$116),0))</f>
        <v>0</v>
      </c>
      <c r="Z72" s="225">
        <f t="shared" si="57"/>
        <v>192</v>
      </c>
      <c r="AA72" s="225">
        <f t="shared" si="58"/>
        <v>0</v>
      </c>
      <c r="AB72" s="225">
        <f t="shared" si="44"/>
        <v>0</v>
      </c>
      <c r="AC72" s="225">
        <f t="shared" si="45"/>
        <v>0</v>
      </c>
      <c r="AD72" s="226">
        <f t="shared" si="59"/>
        <v>0</v>
      </c>
      <c r="AE72" s="225">
        <f t="shared" si="46"/>
        <v>0</v>
      </c>
      <c r="AF72" s="225">
        <f t="shared" si="47"/>
        <v>0</v>
      </c>
      <c r="AG72" s="225">
        <f t="shared" si="48"/>
        <v>0</v>
      </c>
      <c r="AH72" s="225">
        <f t="shared" si="49"/>
        <v>0</v>
      </c>
    </row>
    <row r="73" spans="1:34" x14ac:dyDescent="0.2">
      <c r="A73" s="222">
        <v>948</v>
      </c>
      <c r="B73" s="222">
        <v>925</v>
      </c>
      <c r="C73" s="215">
        <f t="shared" si="30"/>
        <v>1008</v>
      </c>
      <c r="D73" s="215">
        <f t="shared" si="31"/>
        <v>192</v>
      </c>
      <c r="E73" s="215">
        <f t="shared" si="32"/>
        <v>0</v>
      </c>
      <c r="F73" s="215">
        <f t="shared" si="33"/>
        <v>181</v>
      </c>
      <c r="G73" s="217" t="str">
        <f t="shared" si="50"/>
        <v>Yes</v>
      </c>
      <c r="H73" s="217" t="str">
        <f t="shared" si="51"/>
        <v>Yes</v>
      </c>
      <c r="I73" s="217">
        <f>IF(AND('Data Entry'!D$2&gt;=Fermentation!B73,'Data Entry'!D$2&lt;=Fermentation!A73,G73="No",H73="No"),10,ROUND(I72*(1+I$116),0))</f>
        <v>413</v>
      </c>
      <c r="J73" s="217">
        <f t="shared" si="52"/>
        <v>181</v>
      </c>
      <c r="K73" s="217">
        <f t="shared" si="53"/>
        <v>0</v>
      </c>
      <c r="L73" s="217">
        <f t="shared" si="34"/>
        <v>0</v>
      </c>
      <c r="M73" s="217">
        <f t="shared" si="35"/>
        <v>0</v>
      </c>
      <c r="N73" s="218">
        <f t="shared" si="54"/>
        <v>0</v>
      </c>
      <c r="O73" s="217">
        <f t="shared" si="36"/>
        <v>0</v>
      </c>
      <c r="P73" s="217">
        <f t="shared" si="37"/>
        <v>0</v>
      </c>
      <c r="Q73" s="217">
        <f t="shared" si="38"/>
        <v>0</v>
      </c>
      <c r="R73" s="217">
        <f t="shared" si="39"/>
        <v>0</v>
      </c>
      <c r="S73" s="242">
        <f t="shared" si="40"/>
        <v>1008</v>
      </c>
      <c r="T73" s="215">
        <f t="shared" si="41"/>
        <v>192</v>
      </c>
      <c r="U73" s="215">
        <f t="shared" si="42"/>
        <v>0</v>
      </c>
      <c r="V73" s="243">
        <f t="shared" si="43"/>
        <v>181</v>
      </c>
      <c r="W73" s="225" t="str">
        <f t="shared" si="55"/>
        <v>Yes</v>
      </c>
      <c r="X73" s="225" t="str">
        <f t="shared" si="56"/>
        <v>No</v>
      </c>
      <c r="Y73" s="225">
        <f>IF(AND('Data Entry'!D$3&gt;=Fermentation!B73,'Data Entry'!D$3&lt;=Fermentation!A73),10,ROUND(Y72*(1+Y$116),0))</f>
        <v>0</v>
      </c>
      <c r="Z73" s="225">
        <f t="shared" si="57"/>
        <v>192</v>
      </c>
      <c r="AA73" s="225">
        <f t="shared" si="58"/>
        <v>0</v>
      </c>
      <c r="AB73" s="225">
        <f t="shared" si="44"/>
        <v>0</v>
      </c>
      <c r="AC73" s="225">
        <f t="shared" si="45"/>
        <v>0</v>
      </c>
      <c r="AD73" s="226">
        <f t="shared" si="59"/>
        <v>0</v>
      </c>
      <c r="AE73" s="225">
        <f t="shared" si="46"/>
        <v>0</v>
      </c>
      <c r="AF73" s="225">
        <f t="shared" si="47"/>
        <v>0</v>
      </c>
      <c r="AG73" s="225">
        <f t="shared" si="48"/>
        <v>0</v>
      </c>
      <c r="AH73" s="225">
        <f t="shared" si="49"/>
        <v>0</v>
      </c>
    </row>
    <row r="74" spans="1:34" x14ac:dyDescent="0.2">
      <c r="A74" s="222">
        <v>924</v>
      </c>
      <c r="B74" s="222">
        <v>901</v>
      </c>
      <c r="C74" s="215">
        <f t="shared" si="30"/>
        <v>1008</v>
      </c>
      <c r="D74" s="215">
        <f t="shared" si="31"/>
        <v>192</v>
      </c>
      <c r="E74" s="215">
        <f t="shared" si="32"/>
        <v>0</v>
      </c>
      <c r="F74" s="215">
        <f t="shared" si="33"/>
        <v>181</v>
      </c>
      <c r="G74" s="217" t="str">
        <f t="shared" si="50"/>
        <v>Yes</v>
      </c>
      <c r="H74" s="217" t="str">
        <f t="shared" si="51"/>
        <v>Yes</v>
      </c>
      <c r="I74" s="217">
        <f>IF(AND('Data Entry'!D$2&gt;=Fermentation!B74,'Data Entry'!D$2&lt;=Fermentation!A74,G74="No",H74="No"),10,ROUND(I73*(1+I$116),0))</f>
        <v>578</v>
      </c>
      <c r="J74" s="217">
        <f t="shared" si="52"/>
        <v>181</v>
      </c>
      <c r="K74" s="217">
        <f t="shared" si="53"/>
        <v>0</v>
      </c>
      <c r="L74" s="217">
        <f t="shared" si="34"/>
        <v>0</v>
      </c>
      <c r="M74" s="217">
        <f t="shared" si="35"/>
        <v>0</v>
      </c>
      <c r="N74" s="218">
        <f t="shared" si="54"/>
        <v>0</v>
      </c>
      <c r="O74" s="217">
        <f t="shared" si="36"/>
        <v>0</v>
      </c>
      <c r="P74" s="217">
        <f t="shared" si="37"/>
        <v>0</v>
      </c>
      <c r="Q74" s="217">
        <f t="shared" si="38"/>
        <v>0</v>
      </c>
      <c r="R74" s="217">
        <f t="shared" si="39"/>
        <v>0</v>
      </c>
      <c r="S74" s="242">
        <f t="shared" si="40"/>
        <v>1008</v>
      </c>
      <c r="T74" s="215">
        <f t="shared" si="41"/>
        <v>192</v>
      </c>
      <c r="U74" s="215">
        <f t="shared" si="42"/>
        <v>0</v>
      </c>
      <c r="V74" s="243">
        <f t="shared" si="43"/>
        <v>181</v>
      </c>
      <c r="W74" s="225" t="str">
        <f t="shared" si="55"/>
        <v>Yes</v>
      </c>
      <c r="X74" s="225" t="str">
        <f t="shared" si="56"/>
        <v>No</v>
      </c>
      <c r="Y74" s="225">
        <f>IF(AND('Data Entry'!D$3&gt;=Fermentation!B74,'Data Entry'!D$3&lt;=Fermentation!A74),10,ROUND(Y73*(1+Y$116),0))</f>
        <v>0</v>
      </c>
      <c r="Z74" s="225">
        <f t="shared" si="57"/>
        <v>192</v>
      </c>
      <c r="AA74" s="225">
        <f t="shared" si="58"/>
        <v>0</v>
      </c>
      <c r="AB74" s="225">
        <f t="shared" si="44"/>
        <v>0</v>
      </c>
      <c r="AC74" s="225">
        <f t="shared" si="45"/>
        <v>0</v>
      </c>
      <c r="AD74" s="226">
        <f t="shared" si="59"/>
        <v>0</v>
      </c>
      <c r="AE74" s="225">
        <f t="shared" si="46"/>
        <v>0</v>
      </c>
      <c r="AF74" s="225">
        <f t="shared" si="47"/>
        <v>0</v>
      </c>
      <c r="AG74" s="225">
        <f t="shared" si="48"/>
        <v>0</v>
      </c>
      <c r="AH74" s="225">
        <f t="shared" si="49"/>
        <v>0</v>
      </c>
    </row>
    <row r="75" spans="1:34" x14ac:dyDescent="0.2">
      <c r="A75" s="222">
        <v>900</v>
      </c>
      <c r="B75" s="222">
        <v>877</v>
      </c>
      <c r="C75" s="215">
        <f t="shared" si="30"/>
        <v>1008</v>
      </c>
      <c r="D75" s="215">
        <f t="shared" si="31"/>
        <v>192</v>
      </c>
      <c r="E75" s="215">
        <f t="shared" si="32"/>
        <v>0</v>
      </c>
      <c r="F75" s="215">
        <f t="shared" si="33"/>
        <v>181</v>
      </c>
      <c r="G75" s="217" t="str">
        <f t="shared" si="50"/>
        <v>Yes</v>
      </c>
      <c r="H75" s="217" t="str">
        <f t="shared" si="51"/>
        <v>Yes</v>
      </c>
      <c r="I75" s="217">
        <f>IF(AND('Data Entry'!D$2&gt;=Fermentation!B75,'Data Entry'!D$2&lt;=Fermentation!A75,G75="No",H75="No"),10,ROUND(I74*(1+I$116),0))</f>
        <v>809</v>
      </c>
      <c r="J75" s="217">
        <f t="shared" si="52"/>
        <v>181</v>
      </c>
      <c r="K75" s="217">
        <f t="shared" si="53"/>
        <v>0</v>
      </c>
      <c r="L75" s="217">
        <f t="shared" si="34"/>
        <v>0</v>
      </c>
      <c r="M75" s="217">
        <f t="shared" si="35"/>
        <v>0</v>
      </c>
      <c r="N75" s="218">
        <f t="shared" si="54"/>
        <v>0</v>
      </c>
      <c r="O75" s="217">
        <f t="shared" si="36"/>
        <v>0</v>
      </c>
      <c r="P75" s="217">
        <f t="shared" si="37"/>
        <v>0</v>
      </c>
      <c r="Q75" s="217">
        <f t="shared" si="38"/>
        <v>0</v>
      </c>
      <c r="R75" s="217">
        <f t="shared" si="39"/>
        <v>0</v>
      </c>
      <c r="S75" s="242">
        <f t="shared" si="40"/>
        <v>1008</v>
      </c>
      <c r="T75" s="215">
        <f t="shared" si="41"/>
        <v>192</v>
      </c>
      <c r="U75" s="215">
        <f t="shared" si="42"/>
        <v>0</v>
      </c>
      <c r="V75" s="243">
        <f t="shared" si="43"/>
        <v>181</v>
      </c>
      <c r="W75" s="225" t="str">
        <f t="shared" si="55"/>
        <v>Yes</v>
      </c>
      <c r="X75" s="225" t="str">
        <f t="shared" si="56"/>
        <v>No</v>
      </c>
      <c r="Y75" s="225">
        <f>IF(AND('Data Entry'!D$3&gt;=Fermentation!B75,'Data Entry'!D$3&lt;=Fermentation!A75),10,ROUND(Y74*(1+Y$116),0))</f>
        <v>0</v>
      </c>
      <c r="Z75" s="225">
        <f t="shared" si="57"/>
        <v>192</v>
      </c>
      <c r="AA75" s="225">
        <f t="shared" si="58"/>
        <v>0</v>
      </c>
      <c r="AB75" s="225">
        <f t="shared" si="44"/>
        <v>0</v>
      </c>
      <c r="AC75" s="225">
        <f t="shared" si="45"/>
        <v>0</v>
      </c>
      <c r="AD75" s="226">
        <f t="shared" si="59"/>
        <v>0</v>
      </c>
      <c r="AE75" s="225">
        <f t="shared" si="46"/>
        <v>0</v>
      </c>
      <c r="AF75" s="225">
        <f t="shared" si="47"/>
        <v>0</v>
      </c>
      <c r="AG75" s="225">
        <f t="shared" si="48"/>
        <v>0</v>
      </c>
      <c r="AH75" s="225">
        <f t="shared" si="49"/>
        <v>0</v>
      </c>
    </row>
    <row r="76" spans="1:34" x14ac:dyDescent="0.2">
      <c r="A76" s="222">
        <v>876</v>
      </c>
      <c r="B76" s="222">
        <v>853</v>
      </c>
      <c r="C76" s="215">
        <f t="shared" si="30"/>
        <v>1008</v>
      </c>
      <c r="D76" s="215">
        <f t="shared" si="31"/>
        <v>192</v>
      </c>
      <c r="E76" s="215">
        <f t="shared" si="32"/>
        <v>0</v>
      </c>
      <c r="F76" s="215">
        <f t="shared" si="33"/>
        <v>181</v>
      </c>
      <c r="G76" s="217" t="str">
        <f t="shared" ref="G76:G112" si="60">IF(C76&gt;I$124,"Yes","No")</f>
        <v>Yes</v>
      </c>
      <c r="H76" s="217" t="str">
        <f t="shared" ref="H76:H107" si="61">IF(F76&lt;I$122,"Yes","No")</f>
        <v>Yes</v>
      </c>
      <c r="I76" s="217">
        <f>IF(AND('Data Entry'!D$2&gt;=Fermentation!B76,'Data Entry'!D$2&lt;=Fermentation!A76,G76="No",H76="No"),10,ROUND(I75*(1+I$116),0))</f>
        <v>1133</v>
      </c>
      <c r="J76" s="217">
        <f t="shared" ref="J76:J107" si="62">IF(D76-I$119&lt;0,0,D76-I$119)</f>
        <v>181</v>
      </c>
      <c r="K76" s="217">
        <f t="shared" ref="K76:K112" si="63">IF(E76-I$120&lt;0,0,E76-I$120)</f>
        <v>0</v>
      </c>
      <c r="L76" s="217">
        <f t="shared" si="34"/>
        <v>0</v>
      </c>
      <c r="M76" s="217">
        <f t="shared" si="35"/>
        <v>0</v>
      </c>
      <c r="N76" s="218">
        <f t="shared" ref="N76:N107" si="64">IF(I$117=0,0,ROUNDDOWN((L76+M76)/I$117,0))</f>
        <v>0</v>
      </c>
      <c r="O76" s="217">
        <f t="shared" si="36"/>
        <v>0</v>
      </c>
      <c r="P76" s="217">
        <f t="shared" si="37"/>
        <v>0</v>
      </c>
      <c r="Q76" s="217">
        <f t="shared" si="38"/>
        <v>0</v>
      </c>
      <c r="R76" s="217">
        <f t="shared" si="39"/>
        <v>0</v>
      </c>
      <c r="S76" s="242">
        <f t="shared" si="40"/>
        <v>1008</v>
      </c>
      <c r="T76" s="215">
        <f t="shared" si="41"/>
        <v>192</v>
      </c>
      <c r="U76" s="215">
        <f t="shared" si="42"/>
        <v>0</v>
      </c>
      <c r="V76" s="243">
        <f t="shared" si="43"/>
        <v>181</v>
      </c>
      <c r="W76" s="225" t="str">
        <f t="shared" ref="W76:W112" si="65">IF(S76&gt;Y$124,"Yes","No")</f>
        <v>Yes</v>
      </c>
      <c r="X76" s="225" t="str">
        <f t="shared" ref="X76:X107" si="66">IF(V76&lt;Y$122,"Yes","No")</f>
        <v>No</v>
      </c>
      <c r="Y76" s="225">
        <f>IF(AND('Data Entry'!D$3&gt;=Fermentation!B76,'Data Entry'!D$3&lt;=Fermentation!A76),10,ROUND(Y75*(1+Y$116),0))</f>
        <v>0</v>
      </c>
      <c r="Z76" s="225">
        <f t="shared" ref="Z76:Z107" si="67">IF(T76-Y$119&lt;0,0,T76-Y$119)</f>
        <v>192</v>
      </c>
      <c r="AA76" s="225">
        <f t="shared" ref="AA76:AA112" si="68">IF(U76-Y$120&lt;0,0,U76-Y$120)</f>
        <v>0</v>
      </c>
      <c r="AB76" s="225">
        <f t="shared" si="44"/>
        <v>0</v>
      </c>
      <c r="AC76" s="225">
        <f t="shared" si="45"/>
        <v>0</v>
      </c>
      <c r="AD76" s="226">
        <f t="shared" ref="AD76:AD107" si="69">IF(Y$117=0,0,ROUNDDOWN((AB76+AC76)/Y$117,0))</f>
        <v>0</v>
      </c>
      <c r="AE76" s="225">
        <f t="shared" si="46"/>
        <v>0</v>
      </c>
      <c r="AF76" s="225">
        <f t="shared" si="47"/>
        <v>0</v>
      </c>
      <c r="AG76" s="225">
        <f t="shared" si="48"/>
        <v>0</v>
      </c>
      <c r="AH76" s="225">
        <f t="shared" si="49"/>
        <v>0</v>
      </c>
    </row>
    <row r="77" spans="1:34" x14ac:dyDescent="0.2">
      <c r="A77" s="222">
        <v>852</v>
      </c>
      <c r="B77" s="222">
        <v>829</v>
      </c>
      <c r="C77" s="215">
        <f t="shared" si="30"/>
        <v>1008</v>
      </c>
      <c r="D77" s="215">
        <f t="shared" si="31"/>
        <v>192</v>
      </c>
      <c r="E77" s="215">
        <f t="shared" si="32"/>
        <v>0</v>
      </c>
      <c r="F77" s="215">
        <f t="shared" si="33"/>
        <v>181</v>
      </c>
      <c r="G77" s="217" t="str">
        <f t="shared" si="60"/>
        <v>Yes</v>
      </c>
      <c r="H77" s="217" t="str">
        <f t="shared" si="61"/>
        <v>Yes</v>
      </c>
      <c r="I77" s="217">
        <f>IF(AND('Data Entry'!D$2&gt;=Fermentation!B77,'Data Entry'!D$2&lt;=Fermentation!A77,G77="No",H77="No"),10,ROUND(I76*(1+I$116),0))</f>
        <v>1586</v>
      </c>
      <c r="J77" s="217">
        <f t="shared" si="62"/>
        <v>181</v>
      </c>
      <c r="K77" s="217">
        <f t="shared" si="63"/>
        <v>0</v>
      </c>
      <c r="L77" s="217">
        <f t="shared" si="34"/>
        <v>0</v>
      </c>
      <c r="M77" s="217">
        <f t="shared" si="35"/>
        <v>0</v>
      </c>
      <c r="N77" s="218">
        <f t="shared" si="64"/>
        <v>0</v>
      </c>
      <c r="O77" s="217">
        <f t="shared" si="36"/>
        <v>0</v>
      </c>
      <c r="P77" s="217">
        <f t="shared" si="37"/>
        <v>0</v>
      </c>
      <c r="Q77" s="217">
        <f t="shared" si="38"/>
        <v>0</v>
      </c>
      <c r="R77" s="217">
        <f t="shared" si="39"/>
        <v>0</v>
      </c>
      <c r="S77" s="242">
        <f t="shared" si="40"/>
        <v>1008</v>
      </c>
      <c r="T77" s="215">
        <f t="shared" si="41"/>
        <v>192</v>
      </c>
      <c r="U77" s="215">
        <f t="shared" si="42"/>
        <v>0</v>
      </c>
      <c r="V77" s="243">
        <f t="shared" si="43"/>
        <v>181</v>
      </c>
      <c r="W77" s="225" t="str">
        <f t="shared" si="65"/>
        <v>Yes</v>
      </c>
      <c r="X77" s="225" t="str">
        <f t="shared" si="66"/>
        <v>No</v>
      </c>
      <c r="Y77" s="225">
        <f>IF(AND('Data Entry'!D$3&gt;=Fermentation!B77,'Data Entry'!D$3&lt;=Fermentation!A77),10,ROUND(Y76*(1+Y$116),0))</f>
        <v>0</v>
      </c>
      <c r="Z77" s="225">
        <f t="shared" si="67"/>
        <v>192</v>
      </c>
      <c r="AA77" s="225">
        <f t="shared" si="68"/>
        <v>0</v>
      </c>
      <c r="AB77" s="225">
        <f t="shared" si="44"/>
        <v>0</v>
      </c>
      <c r="AC77" s="225">
        <f t="shared" si="45"/>
        <v>0</v>
      </c>
      <c r="AD77" s="226">
        <f t="shared" si="69"/>
        <v>0</v>
      </c>
      <c r="AE77" s="225">
        <f t="shared" si="46"/>
        <v>0</v>
      </c>
      <c r="AF77" s="225">
        <f t="shared" si="47"/>
        <v>0</v>
      </c>
      <c r="AG77" s="225">
        <f t="shared" si="48"/>
        <v>0</v>
      </c>
      <c r="AH77" s="225">
        <f t="shared" si="49"/>
        <v>0</v>
      </c>
    </row>
    <row r="78" spans="1:34" x14ac:dyDescent="0.2">
      <c r="A78" s="222">
        <v>828</v>
      </c>
      <c r="B78" s="222">
        <v>805</v>
      </c>
      <c r="C78" s="215">
        <f t="shared" si="30"/>
        <v>1008</v>
      </c>
      <c r="D78" s="215">
        <f t="shared" si="31"/>
        <v>192</v>
      </c>
      <c r="E78" s="215">
        <f t="shared" si="32"/>
        <v>0</v>
      </c>
      <c r="F78" s="215">
        <f t="shared" si="33"/>
        <v>181</v>
      </c>
      <c r="G78" s="217" t="str">
        <f t="shared" si="60"/>
        <v>Yes</v>
      </c>
      <c r="H78" s="217" t="str">
        <f t="shared" si="61"/>
        <v>Yes</v>
      </c>
      <c r="I78" s="217">
        <f>IF(AND('Data Entry'!D$2&gt;=Fermentation!B78,'Data Entry'!D$2&lt;=Fermentation!A78,G78="No",H78="No"),10,ROUND(I77*(1+I$116),0))</f>
        <v>2220</v>
      </c>
      <c r="J78" s="217">
        <f t="shared" si="62"/>
        <v>181</v>
      </c>
      <c r="K78" s="217">
        <f t="shared" si="63"/>
        <v>0</v>
      </c>
      <c r="L78" s="217">
        <f t="shared" si="34"/>
        <v>0</v>
      </c>
      <c r="M78" s="217">
        <f t="shared" si="35"/>
        <v>0</v>
      </c>
      <c r="N78" s="218">
        <f t="shared" si="64"/>
        <v>0</v>
      </c>
      <c r="O78" s="217">
        <f t="shared" si="36"/>
        <v>0</v>
      </c>
      <c r="P78" s="217">
        <f t="shared" si="37"/>
        <v>0</v>
      </c>
      <c r="Q78" s="217">
        <f t="shared" si="38"/>
        <v>0</v>
      </c>
      <c r="R78" s="217">
        <f t="shared" si="39"/>
        <v>0</v>
      </c>
      <c r="S78" s="242">
        <f t="shared" si="40"/>
        <v>1008</v>
      </c>
      <c r="T78" s="215">
        <f t="shared" si="41"/>
        <v>192</v>
      </c>
      <c r="U78" s="215">
        <f t="shared" si="42"/>
        <v>0</v>
      </c>
      <c r="V78" s="243">
        <f t="shared" si="43"/>
        <v>181</v>
      </c>
      <c r="W78" s="225" t="str">
        <f t="shared" si="65"/>
        <v>Yes</v>
      </c>
      <c r="X78" s="225" t="str">
        <f t="shared" si="66"/>
        <v>No</v>
      </c>
      <c r="Y78" s="225">
        <f>IF(AND('Data Entry'!D$3&gt;=Fermentation!B78,'Data Entry'!D$3&lt;=Fermentation!A78),10,ROUND(Y77*(1+Y$116),0))</f>
        <v>0</v>
      </c>
      <c r="Z78" s="225">
        <f t="shared" si="67"/>
        <v>192</v>
      </c>
      <c r="AA78" s="225">
        <f t="shared" si="68"/>
        <v>0</v>
      </c>
      <c r="AB78" s="225">
        <f t="shared" si="44"/>
        <v>0</v>
      </c>
      <c r="AC78" s="225">
        <f t="shared" si="45"/>
        <v>0</v>
      </c>
      <c r="AD78" s="226">
        <f t="shared" si="69"/>
        <v>0</v>
      </c>
      <c r="AE78" s="225">
        <f t="shared" si="46"/>
        <v>0</v>
      </c>
      <c r="AF78" s="225">
        <f t="shared" si="47"/>
        <v>0</v>
      </c>
      <c r="AG78" s="225">
        <f t="shared" si="48"/>
        <v>0</v>
      </c>
      <c r="AH78" s="225">
        <f t="shared" si="49"/>
        <v>0</v>
      </c>
    </row>
    <row r="79" spans="1:34" x14ac:dyDescent="0.2">
      <c r="A79" s="222">
        <v>804</v>
      </c>
      <c r="B79" s="222">
        <v>781</v>
      </c>
      <c r="C79" s="215">
        <f t="shared" si="30"/>
        <v>1008</v>
      </c>
      <c r="D79" s="215">
        <f t="shared" si="31"/>
        <v>192</v>
      </c>
      <c r="E79" s="215">
        <f t="shared" si="32"/>
        <v>0</v>
      </c>
      <c r="F79" s="215">
        <f t="shared" si="33"/>
        <v>181</v>
      </c>
      <c r="G79" s="217" t="str">
        <f t="shared" si="60"/>
        <v>Yes</v>
      </c>
      <c r="H79" s="217" t="str">
        <f t="shared" si="61"/>
        <v>Yes</v>
      </c>
      <c r="I79" s="217">
        <f>IF(AND('Data Entry'!D$2&gt;=Fermentation!B79,'Data Entry'!D$2&lt;=Fermentation!A79,G79="No",H79="No"),10,ROUND(I78*(1+I$116),0))</f>
        <v>3108</v>
      </c>
      <c r="J79" s="217">
        <f t="shared" si="62"/>
        <v>181</v>
      </c>
      <c r="K79" s="217">
        <f t="shared" si="63"/>
        <v>0</v>
      </c>
      <c r="L79" s="217">
        <f t="shared" si="34"/>
        <v>0</v>
      </c>
      <c r="M79" s="217">
        <f t="shared" si="35"/>
        <v>0</v>
      </c>
      <c r="N79" s="218">
        <f t="shared" si="64"/>
        <v>0</v>
      </c>
      <c r="O79" s="217">
        <f t="shared" si="36"/>
        <v>0</v>
      </c>
      <c r="P79" s="217">
        <f t="shared" si="37"/>
        <v>0</v>
      </c>
      <c r="Q79" s="217">
        <f t="shared" si="38"/>
        <v>0</v>
      </c>
      <c r="R79" s="217">
        <f t="shared" si="39"/>
        <v>0</v>
      </c>
      <c r="S79" s="242">
        <f t="shared" si="40"/>
        <v>1008</v>
      </c>
      <c r="T79" s="215">
        <f t="shared" si="41"/>
        <v>192</v>
      </c>
      <c r="U79" s="215">
        <f t="shared" si="42"/>
        <v>0</v>
      </c>
      <c r="V79" s="243">
        <f t="shared" si="43"/>
        <v>181</v>
      </c>
      <c r="W79" s="225" t="str">
        <f t="shared" si="65"/>
        <v>Yes</v>
      </c>
      <c r="X79" s="225" t="str">
        <f t="shared" si="66"/>
        <v>No</v>
      </c>
      <c r="Y79" s="225">
        <f>IF(AND('Data Entry'!D$3&gt;=Fermentation!B79,'Data Entry'!D$3&lt;=Fermentation!A79),10,ROUND(Y78*(1+Y$116),0))</f>
        <v>0</v>
      </c>
      <c r="Z79" s="225">
        <f t="shared" si="67"/>
        <v>192</v>
      </c>
      <c r="AA79" s="225">
        <f t="shared" si="68"/>
        <v>0</v>
      </c>
      <c r="AB79" s="225">
        <f t="shared" si="44"/>
        <v>0</v>
      </c>
      <c r="AC79" s="225">
        <f t="shared" si="45"/>
        <v>0</v>
      </c>
      <c r="AD79" s="226">
        <f t="shared" si="69"/>
        <v>0</v>
      </c>
      <c r="AE79" s="225">
        <f t="shared" si="46"/>
        <v>0</v>
      </c>
      <c r="AF79" s="225">
        <f t="shared" si="47"/>
        <v>0</v>
      </c>
      <c r="AG79" s="225">
        <f t="shared" si="48"/>
        <v>0</v>
      </c>
      <c r="AH79" s="225">
        <f t="shared" si="49"/>
        <v>0</v>
      </c>
    </row>
    <row r="80" spans="1:34" x14ac:dyDescent="0.2">
      <c r="A80" s="222">
        <v>780</v>
      </c>
      <c r="B80" s="222">
        <v>757</v>
      </c>
      <c r="C80" s="215">
        <f t="shared" si="30"/>
        <v>1008</v>
      </c>
      <c r="D80" s="215">
        <f t="shared" si="31"/>
        <v>192</v>
      </c>
      <c r="E80" s="215">
        <f t="shared" si="32"/>
        <v>0</v>
      </c>
      <c r="F80" s="215">
        <f t="shared" si="33"/>
        <v>181</v>
      </c>
      <c r="G80" s="217" t="str">
        <f t="shared" si="60"/>
        <v>Yes</v>
      </c>
      <c r="H80" s="217" t="str">
        <f t="shared" si="61"/>
        <v>Yes</v>
      </c>
      <c r="I80" s="217">
        <f>IF(AND('Data Entry'!D$2&gt;=Fermentation!B80,'Data Entry'!D$2&lt;=Fermentation!A80,G80="No",H80="No"),10,ROUND(I79*(1+I$116),0))</f>
        <v>4351</v>
      </c>
      <c r="J80" s="217">
        <f t="shared" si="62"/>
        <v>181</v>
      </c>
      <c r="K80" s="217">
        <f t="shared" si="63"/>
        <v>0</v>
      </c>
      <c r="L80" s="217">
        <f t="shared" si="34"/>
        <v>0</v>
      </c>
      <c r="M80" s="217">
        <f t="shared" si="35"/>
        <v>0</v>
      </c>
      <c r="N80" s="218">
        <f t="shared" si="64"/>
        <v>0</v>
      </c>
      <c r="O80" s="217">
        <f t="shared" si="36"/>
        <v>0</v>
      </c>
      <c r="P80" s="217">
        <f t="shared" si="37"/>
        <v>0</v>
      </c>
      <c r="Q80" s="217">
        <f t="shared" si="38"/>
        <v>0</v>
      </c>
      <c r="R80" s="217">
        <f t="shared" si="39"/>
        <v>0</v>
      </c>
      <c r="S80" s="242">
        <f t="shared" si="40"/>
        <v>1008</v>
      </c>
      <c r="T80" s="215">
        <f t="shared" si="41"/>
        <v>192</v>
      </c>
      <c r="U80" s="215">
        <f t="shared" si="42"/>
        <v>0</v>
      </c>
      <c r="V80" s="243">
        <f t="shared" si="43"/>
        <v>181</v>
      </c>
      <c r="W80" s="225" t="str">
        <f t="shared" si="65"/>
        <v>Yes</v>
      </c>
      <c r="X80" s="225" t="str">
        <f t="shared" si="66"/>
        <v>No</v>
      </c>
      <c r="Y80" s="225">
        <f>IF(AND('Data Entry'!D$3&gt;=Fermentation!B80,'Data Entry'!D$3&lt;=Fermentation!A80),10,ROUND(Y79*(1+Y$116),0))</f>
        <v>0</v>
      </c>
      <c r="Z80" s="225">
        <f t="shared" si="67"/>
        <v>192</v>
      </c>
      <c r="AA80" s="225">
        <f t="shared" si="68"/>
        <v>0</v>
      </c>
      <c r="AB80" s="225">
        <f t="shared" si="44"/>
        <v>0</v>
      </c>
      <c r="AC80" s="225">
        <f t="shared" si="45"/>
        <v>0</v>
      </c>
      <c r="AD80" s="226">
        <f t="shared" si="69"/>
        <v>0</v>
      </c>
      <c r="AE80" s="225">
        <f t="shared" si="46"/>
        <v>0</v>
      </c>
      <c r="AF80" s="225">
        <f t="shared" si="47"/>
        <v>0</v>
      </c>
      <c r="AG80" s="225">
        <f t="shared" si="48"/>
        <v>0</v>
      </c>
      <c r="AH80" s="225">
        <f t="shared" si="49"/>
        <v>0</v>
      </c>
    </row>
    <row r="81" spans="1:34" x14ac:dyDescent="0.2">
      <c r="A81" s="222">
        <v>756</v>
      </c>
      <c r="B81" s="222">
        <v>733</v>
      </c>
      <c r="C81" s="215">
        <f t="shared" si="30"/>
        <v>1008</v>
      </c>
      <c r="D81" s="215">
        <f t="shared" si="31"/>
        <v>192</v>
      </c>
      <c r="E81" s="215">
        <f t="shared" si="32"/>
        <v>0</v>
      </c>
      <c r="F81" s="215">
        <f t="shared" si="33"/>
        <v>181</v>
      </c>
      <c r="G81" s="217" t="str">
        <f t="shared" si="60"/>
        <v>Yes</v>
      </c>
      <c r="H81" s="217" t="str">
        <f t="shared" si="61"/>
        <v>Yes</v>
      </c>
      <c r="I81" s="217">
        <f>IF(AND('Data Entry'!D$2&gt;=Fermentation!B81,'Data Entry'!D$2&lt;=Fermentation!A81,G81="No",H81="No"),10,ROUND(I80*(1+I$116),0))</f>
        <v>6091</v>
      </c>
      <c r="J81" s="217">
        <f t="shared" si="62"/>
        <v>181</v>
      </c>
      <c r="K81" s="217">
        <f t="shared" si="63"/>
        <v>0</v>
      </c>
      <c r="L81" s="217">
        <f t="shared" si="34"/>
        <v>0</v>
      </c>
      <c r="M81" s="217">
        <f t="shared" si="35"/>
        <v>0</v>
      </c>
      <c r="N81" s="218">
        <f t="shared" si="64"/>
        <v>0</v>
      </c>
      <c r="O81" s="217">
        <f t="shared" si="36"/>
        <v>0</v>
      </c>
      <c r="P81" s="217">
        <f t="shared" si="37"/>
        <v>0</v>
      </c>
      <c r="Q81" s="217">
        <f t="shared" si="38"/>
        <v>0</v>
      </c>
      <c r="R81" s="217">
        <f t="shared" si="39"/>
        <v>0</v>
      </c>
      <c r="S81" s="242">
        <f t="shared" si="40"/>
        <v>1008</v>
      </c>
      <c r="T81" s="215">
        <f t="shared" si="41"/>
        <v>192</v>
      </c>
      <c r="U81" s="215">
        <f t="shared" si="42"/>
        <v>0</v>
      </c>
      <c r="V81" s="243">
        <f t="shared" si="43"/>
        <v>181</v>
      </c>
      <c r="W81" s="225" t="str">
        <f t="shared" si="65"/>
        <v>Yes</v>
      </c>
      <c r="X81" s="225" t="str">
        <f t="shared" si="66"/>
        <v>No</v>
      </c>
      <c r="Y81" s="225">
        <f>IF(AND('Data Entry'!D$3&gt;=Fermentation!B81,'Data Entry'!D$3&lt;=Fermentation!A81),10,ROUND(Y80*(1+Y$116),0))</f>
        <v>0</v>
      </c>
      <c r="Z81" s="225">
        <f t="shared" si="67"/>
        <v>192</v>
      </c>
      <c r="AA81" s="225">
        <f t="shared" si="68"/>
        <v>0</v>
      </c>
      <c r="AB81" s="225">
        <f t="shared" si="44"/>
        <v>0</v>
      </c>
      <c r="AC81" s="225">
        <f t="shared" si="45"/>
        <v>0</v>
      </c>
      <c r="AD81" s="226">
        <f t="shared" si="69"/>
        <v>0</v>
      </c>
      <c r="AE81" s="225">
        <f t="shared" si="46"/>
        <v>0</v>
      </c>
      <c r="AF81" s="225">
        <f t="shared" si="47"/>
        <v>0</v>
      </c>
      <c r="AG81" s="225">
        <f t="shared" si="48"/>
        <v>0</v>
      </c>
      <c r="AH81" s="225">
        <f t="shared" si="49"/>
        <v>0</v>
      </c>
    </row>
    <row r="82" spans="1:34" x14ac:dyDescent="0.2">
      <c r="A82" s="222">
        <v>732</v>
      </c>
      <c r="B82" s="222">
        <v>709</v>
      </c>
      <c r="C82" s="215">
        <f t="shared" si="30"/>
        <v>1008</v>
      </c>
      <c r="D82" s="215">
        <f t="shared" si="31"/>
        <v>192</v>
      </c>
      <c r="E82" s="215">
        <f t="shared" si="32"/>
        <v>0</v>
      </c>
      <c r="F82" s="215">
        <f t="shared" si="33"/>
        <v>181</v>
      </c>
      <c r="G82" s="217" t="str">
        <f t="shared" si="60"/>
        <v>Yes</v>
      </c>
      <c r="H82" s="217" t="str">
        <f t="shared" si="61"/>
        <v>Yes</v>
      </c>
      <c r="I82" s="217">
        <f>IF(AND('Data Entry'!D$2&gt;=Fermentation!B82,'Data Entry'!D$2&lt;=Fermentation!A82,G82="No",H82="No"),10,ROUND(I81*(1+I$116),0))</f>
        <v>8527</v>
      </c>
      <c r="J82" s="217">
        <f t="shared" si="62"/>
        <v>181</v>
      </c>
      <c r="K82" s="217">
        <f t="shared" si="63"/>
        <v>0</v>
      </c>
      <c r="L82" s="217">
        <f t="shared" si="34"/>
        <v>0</v>
      </c>
      <c r="M82" s="217">
        <f t="shared" si="35"/>
        <v>0</v>
      </c>
      <c r="N82" s="218">
        <f t="shared" si="64"/>
        <v>0</v>
      </c>
      <c r="O82" s="217">
        <f t="shared" si="36"/>
        <v>0</v>
      </c>
      <c r="P82" s="217">
        <f t="shared" si="37"/>
        <v>0</v>
      </c>
      <c r="Q82" s="217">
        <f t="shared" si="38"/>
        <v>0</v>
      </c>
      <c r="R82" s="217">
        <f t="shared" si="39"/>
        <v>0</v>
      </c>
      <c r="S82" s="242">
        <f t="shared" si="40"/>
        <v>1008</v>
      </c>
      <c r="T82" s="215">
        <f t="shared" si="41"/>
        <v>192</v>
      </c>
      <c r="U82" s="215">
        <f t="shared" si="42"/>
        <v>0</v>
      </c>
      <c r="V82" s="243">
        <f t="shared" si="43"/>
        <v>181</v>
      </c>
      <c r="W82" s="225" t="str">
        <f t="shared" si="65"/>
        <v>Yes</v>
      </c>
      <c r="X82" s="225" t="str">
        <f t="shared" si="66"/>
        <v>No</v>
      </c>
      <c r="Y82" s="225">
        <f>IF(AND('Data Entry'!D$3&gt;=Fermentation!B82,'Data Entry'!D$3&lt;=Fermentation!A82),10,ROUND(Y81*(1+Y$116),0))</f>
        <v>0</v>
      </c>
      <c r="Z82" s="225">
        <f t="shared" si="67"/>
        <v>192</v>
      </c>
      <c r="AA82" s="225">
        <f t="shared" si="68"/>
        <v>0</v>
      </c>
      <c r="AB82" s="225">
        <f t="shared" si="44"/>
        <v>0</v>
      </c>
      <c r="AC82" s="225">
        <f t="shared" si="45"/>
        <v>0</v>
      </c>
      <c r="AD82" s="226">
        <f t="shared" si="69"/>
        <v>0</v>
      </c>
      <c r="AE82" s="225">
        <f t="shared" si="46"/>
        <v>0</v>
      </c>
      <c r="AF82" s="225">
        <f t="shared" si="47"/>
        <v>0</v>
      </c>
      <c r="AG82" s="225">
        <f t="shared" si="48"/>
        <v>0</v>
      </c>
      <c r="AH82" s="225">
        <f t="shared" si="49"/>
        <v>0</v>
      </c>
    </row>
    <row r="83" spans="1:34" x14ac:dyDescent="0.2">
      <c r="A83" s="222">
        <v>708</v>
      </c>
      <c r="B83" s="222">
        <v>685</v>
      </c>
      <c r="C83" s="215">
        <f t="shared" si="30"/>
        <v>1008</v>
      </c>
      <c r="D83" s="215">
        <f t="shared" si="31"/>
        <v>192</v>
      </c>
      <c r="E83" s="215">
        <f t="shared" si="32"/>
        <v>0</v>
      </c>
      <c r="F83" s="215">
        <f t="shared" si="33"/>
        <v>181</v>
      </c>
      <c r="G83" s="217" t="str">
        <f t="shared" si="60"/>
        <v>Yes</v>
      </c>
      <c r="H83" s="217" t="str">
        <f t="shared" si="61"/>
        <v>Yes</v>
      </c>
      <c r="I83" s="217">
        <f>IF(AND('Data Entry'!D$2&gt;=Fermentation!B83,'Data Entry'!D$2&lt;=Fermentation!A83,G83="No",H83="No"),10,ROUND(I82*(1+I$116),0))</f>
        <v>11938</v>
      </c>
      <c r="J83" s="217">
        <f t="shared" si="62"/>
        <v>181</v>
      </c>
      <c r="K83" s="217">
        <f t="shared" si="63"/>
        <v>0</v>
      </c>
      <c r="L83" s="217">
        <f t="shared" si="34"/>
        <v>0</v>
      </c>
      <c r="M83" s="217">
        <f t="shared" si="35"/>
        <v>0</v>
      </c>
      <c r="N83" s="218">
        <f t="shared" si="64"/>
        <v>0</v>
      </c>
      <c r="O83" s="217">
        <f t="shared" si="36"/>
        <v>0</v>
      </c>
      <c r="P83" s="217">
        <f t="shared" si="37"/>
        <v>0</v>
      </c>
      <c r="Q83" s="217">
        <f t="shared" si="38"/>
        <v>0</v>
      </c>
      <c r="R83" s="217">
        <f t="shared" si="39"/>
        <v>0</v>
      </c>
      <c r="S83" s="242">
        <f t="shared" si="40"/>
        <v>1008</v>
      </c>
      <c r="T83" s="215">
        <f t="shared" si="41"/>
        <v>192</v>
      </c>
      <c r="U83" s="215">
        <f t="shared" si="42"/>
        <v>0</v>
      </c>
      <c r="V83" s="243">
        <f t="shared" si="43"/>
        <v>181</v>
      </c>
      <c r="W83" s="225" t="str">
        <f t="shared" si="65"/>
        <v>Yes</v>
      </c>
      <c r="X83" s="225" t="str">
        <f t="shared" si="66"/>
        <v>No</v>
      </c>
      <c r="Y83" s="225">
        <f>IF(AND('Data Entry'!D$3&gt;=Fermentation!B83,'Data Entry'!D$3&lt;=Fermentation!A83),10,ROUND(Y82*(1+Y$116),0))</f>
        <v>0</v>
      </c>
      <c r="Z83" s="225">
        <f t="shared" si="67"/>
        <v>192</v>
      </c>
      <c r="AA83" s="225">
        <f t="shared" si="68"/>
        <v>0</v>
      </c>
      <c r="AB83" s="225">
        <f t="shared" si="44"/>
        <v>0</v>
      </c>
      <c r="AC83" s="225">
        <f t="shared" si="45"/>
        <v>0</v>
      </c>
      <c r="AD83" s="226">
        <f t="shared" si="69"/>
        <v>0</v>
      </c>
      <c r="AE83" s="225">
        <f t="shared" si="46"/>
        <v>0</v>
      </c>
      <c r="AF83" s="225">
        <f t="shared" si="47"/>
        <v>0</v>
      </c>
      <c r="AG83" s="225">
        <f t="shared" si="48"/>
        <v>0</v>
      </c>
      <c r="AH83" s="225">
        <f t="shared" si="49"/>
        <v>0</v>
      </c>
    </row>
    <row r="84" spans="1:34" x14ac:dyDescent="0.2">
      <c r="A84" s="222">
        <v>684</v>
      </c>
      <c r="B84" s="222">
        <v>661</v>
      </c>
      <c r="C84" s="215">
        <f t="shared" si="30"/>
        <v>1008</v>
      </c>
      <c r="D84" s="215">
        <f t="shared" si="31"/>
        <v>192</v>
      </c>
      <c r="E84" s="215">
        <f t="shared" si="32"/>
        <v>0</v>
      </c>
      <c r="F84" s="215">
        <f t="shared" si="33"/>
        <v>181</v>
      </c>
      <c r="G84" s="217" t="str">
        <f t="shared" si="60"/>
        <v>Yes</v>
      </c>
      <c r="H84" s="217" t="str">
        <f t="shared" si="61"/>
        <v>Yes</v>
      </c>
      <c r="I84" s="217">
        <f>IF(AND('Data Entry'!D$2&gt;=Fermentation!B84,'Data Entry'!D$2&lt;=Fermentation!A84,G84="No",H84="No"),10,ROUND(I83*(1+I$116),0))</f>
        <v>16713</v>
      </c>
      <c r="J84" s="217">
        <f t="shared" si="62"/>
        <v>181</v>
      </c>
      <c r="K84" s="217">
        <f t="shared" si="63"/>
        <v>0</v>
      </c>
      <c r="L84" s="217">
        <f t="shared" si="34"/>
        <v>0</v>
      </c>
      <c r="M84" s="217">
        <f t="shared" si="35"/>
        <v>0</v>
      </c>
      <c r="N84" s="218">
        <f t="shared" si="64"/>
        <v>0</v>
      </c>
      <c r="O84" s="217">
        <f t="shared" si="36"/>
        <v>0</v>
      </c>
      <c r="P84" s="217">
        <f t="shared" si="37"/>
        <v>0</v>
      </c>
      <c r="Q84" s="217">
        <f t="shared" si="38"/>
        <v>0</v>
      </c>
      <c r="R84" s="217">
        <f t="shared" si="39"/>
        <v>0</v>
      </c>
      <c r="S84" s="242">
        <f t="shared" si="40"/>
        <v>1008</v>
      </c>
      <c r="T84" s="215">
        <f t="shared" si="41"/>
        <v>192</v>
      </c>
      <c r="U84" s="215">
        <f t="shared" si="42"/>
        <v>0</v>
      </c>
      <c r="V84" s="243">
        <f t="shared" si="43"/>
        <v>181</v>
      </c>
      <c r="W84" s="225" t="str">
        <f t="shared" si="65"/>
        <v>Yes</v>
      </c>
      <c r="X84" s="225" t="str">
        <f t="shared" si="66"/>
        <v>No</v>
      </c>
      <c r="Y84" s="225">
        <f>IF(AND('Data Entry'!D$3&gt;=Fermentation!B84,'Data Entry'!D$3&lt;=Fermentation!A84),10,ROUND(Y83*(1+Y$116),0))</f>
        <v>0</v>
      </c>
      <c r="Z84" s="225">
        <f t="shared" si="67"/>
        <v>192</v>
      </c>
      <c r="AA84" s="225">
        <f t="shared" si="68"/>
        <v>0</v>
      </c>
      <c r="AB84" s="225">
        <f t="shared" si="44"/>
        <v>0</v>
      </c>
      <c r="AC84" s="225">
        <f t="shared" si="45"/>
        <v>0</v>
      </c>
      <c r="AD84" s="226">
        <f t="shared" si="69"/>
        <v>0</v>
      </c>
      <c r="AE84" s="225">
        <f t="shared" si="46"/>
        <v>0</v>
      </c>
      <c r="AF84" s="225">
        <f t="shared" si="47"/>
        <v>0</v>
      </c>
      <c r="AG84" s="225">
        <f t="shared" si="48"/>
        <v>0</v>
      </c>
      <c r="AH84" s="225">
        <f t="shared" si="49"/>
        <v>0</v>
      </c>
    </row>
    <row r="85" spans="1:34" x14ac:dyDescent="0.2">
      <c r="A85" s="222">
        <v>660</v>
      </c>
      <c r="B85" s="222">
        <v>637</v>
      </c>
      <c r="C85" s="215">
        <f t="shared" si="30"/>
        <v>1008</v>
      </c>
      <c r="D85" s="215">
        <f t="shared" si="31"/>
        <v>192</v>
      </c>
      <c r="E85" s="215">
        <f t="shared" si="32"/>
        <v>0</v>
      </c>
      <c r="F85" s="215">
        <f t="shared" si="33"/>
        <v>181</v>
      </c>
      <c r="G85" s="217" t="str">
        <f t="shared" si="60"/>
        <v>Yes</v>
      </c>
      <c r="H85" s="217" t="str">
        <f t="shared" si="61"/>
        <v>Yes</v>
      </c>
      <c r="I85" s="217">
        <f>IF(AND('Data Entry'!D$2&gt;=Fermentation!B85,'Data Entry'!D$2&lt;=Fermentation!A85,G85="No",H85="No"),10,ROUND(I84*(1+I$116),0))</f>
        <v>23398</v>
      </c>
      <c r="J85" s="217">
        <f t="shared" si="62"/>
        <v>181</v>
      </c>
      <c r="K85" s="217">
        <f t="shared" si="63"/>
        <v>0</v>
      </c>
      <c r="L85" s="217">
        <f t="shared" si="34"/>
        <v>0</v>
      </c>
      <c r="M85" s="217">
        <f t="shared" si="35"/>
        <v>0</v>
      </c>
      <c r="N85" s="218">
        <f t="shared" si="64"/>
        <v>0</v>
      </c>
      <c r="O85" s="217">
        <f t="shared" si="36"/>
        <v>0</v>
      </c>
      <c r="P85" s="217">
        <f t="shared" si="37"/>
        <v>0</v>
      </c>
      <c r="Q85" s="217">
        <f t="shared" si="38"/>
        <v>0</v>
      </c>
      <c r="R85" s="217">
        <f t="shared" si="39"/>
        <v>0</v>
      </c>
      <c r="S85" s="242">
        <f t="shared" si="40"/>
        <v>1008</v>
      </c>
      <c r="T85" s="215">
        <f t="shared" si="41"/>
        <v>192</v>
      </c>
      <c r="U85" s="215">
        <f t="shared" si="42"/>
        <v>0</v>
      </c>
      <c r="V85" s="243">
        <f t="shared" si="43"/>
        <v>181</v>
      </c>
      <c r="W85" s="225" t="str">
        <f t="shared" si="65"/>
        <v>Yes</v>
      </c>
      <c r="X85" s="225" t="str">
        <f t="shared" si="66"/>
        <v>No</v>
      </c>
      <c r="Y85" s="225">
        <f>IF(AND('Data Entry'!D$3&gt;=Fermentation!B85,'Data Entry'!D$3&lt;=Fermentation!A85),10,ROUND(Y84*(1+Y$116),0))</f>
        <v>0</v>
      </c>
      <c r="Z85" s="225">
        <f t="shared" si="67"/>
        <v>192</v>
      </c>
      <c r="AA85" s="225">
        <f t="shared" si="68"/>
        <v>0</v>
      </c>
      <c r="AB85" s="225">
        <f t="shared" si="44"/>
        <v>0</v>
      </c>
      <c r="AC85" s="225">
        <f t="shared" si="45"/>
        <v>0</v>
      </c>
      <c r="AD85" s="226">
        <f t="shared" si="69"/>
        <v>0</v>
      </c>
      <c r="AE85" s="225">
        <f t="shared" si="46"/>
        <v>0</v>
      </c>
      <c r="AF85" s="225">
        <f t="shared" si="47"/>
        <v>0</v>
      </c>
      <c r="AG85" s="225">
        <f t="shared" si="48"/>
        <v>0</v>
      </c>
      <c r="AH85" s="225">
        <f t="shared" si="49"/>
        <v>0</v>
      </c>
    </row>
    <row r="86" spans="1:34" x14ac:dyDescent="0.2">
      <c r="A86" s="222">
        <v>636</v>
      </c>
      <c r="B86" s="222">
        <v>613</v>
      </c>
      <c r="C86" s="215">
        <f t="shared" si="30"/>
        <v>1008</v>
      </c>
      <c r="D86" s="215">
        <f t="shared" si="31"/>
        <v>192</v>
      </c>
      <c r="E86" s="215">
        <f t="shared" si="32"/>
        <v>0</v>
      </c>
      <c r="F86" s="215">
        <f t="shared" si="33"/>
        <v>181</v>
      </c>
      <c r="G86" s="217" t="str">
        <f t="shared" si="60"/>
        <v>Yes</v>
      </c>
      <c r="H86" s="217" t="str">
        <f t="shared" si="61"/>
        <v>Yes</v>
      </c>
      <c r="I86" s="217">
        <f>IF(AND('Data Entry'!D$2&gt;=Fermentation!B86,'Data Entry'!D$2&lt;=Fermentation!A86,G86="No",H86="No"),10,ROUND(I85*(1+I$116),0))</f>
        <v>32757</v>
      </c>
      <c r="J86" s="217">
        <f t="shared" si="62"/>
        <v>181</v>
      </c>
      <c r="K86" s="217">
        <f t="shared" si="63"/>
        <v>0</v>
      </c>
      <c r="L86" s="217">
        <f t="shared" si="34"/>
        <v>0</v>
      </c>
      <c r="M86" s="217">
        <f t="shared" si="35"/>
        <v>0</v>
      </c>
      <c r="N86" s="218">
        <f t="shared" si="64"/>
        <v>0</v>
      </c>
      <c r="O86" s="217">
        <f t="shared" si="36"/>
        <v>0</v>
      </c>
      <c r="P86" s="217">
        <f t="shared" si="37"/>
        <v>0</v>
      </c>
      <c r="Q86" s="217">
        <f t="shared" si="38"/>
        <v>0</v>
      </c>
      <c r="R86" s="217">
        <f t="shared" si="39"/>
        <v>0</v>
      </c>
      <c r="S86" s="242">
        <f t="shared" si="40"/>
        <v>1008</v>
      </c>
      <c r="T86" s="215">
        <f t="shared" si="41"/>
        <v>192</v>
      </c>
      <c r="U86" s="215">
        <f t="shared" si="42"/>
        <v>0</v>
      </c>
      <c r="V86" s="243">
        <f t="shared" si="43"/>
        <v>181</v>
      </c>
      <c r="W86" s="225" t="str">
        <f t="shared" si="65"/>
        <v>Yes</v>
      </c>
      <c r="X86" s="225" t="str">
        <f t="shared" si="66"/>
        <v>No</v>
      </c>
      <c r="Y86" s="225">
        <f>IF(AND('Data Entry'!D$3&gt;=Fermentation!B86,'Data Entry'!D$3&lt;=Fermentation!A86),10,ROUND(Y85*(1+Y$116),0))</f>
        <v>0</v>
      </c>
      <c r="Z86" s="225">
        <f t="shared" si="67"/>
        <v>192</v>
      </c>
      <c r="AA86" s="225">
        <f t="shared" si="68"/>
        <v>0</v>
      </c>
      <c r="AB86" s="225">
        <f t="shared" si="44"/>
        <v>0</v>
      </c>
      <c r="AC86" s="225">
        <f t="shared" si="45"/>
        <v>0</v>
      </c>
      <c r="AD86" s="226">
        <f t="shared" si="69"/>
        <v>0</v>
      </c>
      <c r="AE86" s="225">
        <f t="shared" si="46"/>
        <v>0</v>
      </c>
      <c r="AF86" s="225">
        <f t="shared" si="47"/>
        <v>0</v>
      </c>
      <c r="AG86" s="225">
        <f t="shared" si="48"/>
        <v>0</v>
      </c>
      <c r="AH86" s="225">
        <f t="shared" si="49"/>
        <v>0</v>
      </c>
    </row>
    <row r="87" spans="1:34" x14ac:dyDescent="0.2">
      <c r="A87" s="222">
        <v>612</v>
      </c>
      <c r="B87" s="222">
        <v>589</v>
      </c>
      <c r="C87" s="215">
        <f t="shared" ref="C87:C112" si="70">S86+AE86</f>
        <v>1008</v>
      </c>
      <c r="D87" s="215">
        <f t="shared" ref="D87:D112" si="71">T86-AB86</f>
        <v>192</v>
      </c>
      <c r="E87" s="215">
        <f t="shared" ref="E87:E112" si="72">U86-AC86</f>
        <v>0</v>
      </c>
      <c r="F87" s="215">
        <f t="shared" ref="F87:F112" si="73">V86-AD86</f>
        <v>181</v>
      </c>
      <c r="G87" s="217" t="str">
        <f t="shared" si="60"/>
        <v>Yes</v>
      </c>
      <c r="H87" s="217" t="str">
        <f t="shared" si="61"/>
        <v>Yes</v>
      </c>
      <c r="I87" s="217">
        <f>IF(AND('Data Entry'!D$2&gt;=Fermentation!B87,'Data Entry'!D$2&lt;=Fermentation!A87,G87="No",H87="No"),10,ROUND(I86*(1+I$116),0))</f>
        <v>45860</v>
      </c>
      <c r="J87" s="217">
        <f t="shared" si="62"/>
        <v>181</v>
      </c>
      <c r="K87" s="217">
        <f t="shared" si="63"/>
        <v>0</v>
      </c>
      <c r="L87" s="217">
        <f t="shared" ref="L87:L112" si="74">IF(AND(G87="No",H87="No"),MIN(I87,J87),0)</f>
        <v>0</v>
      </c>
      <c r="M87" s="217">
        <f t="shared" ref="M87:M112" si="75">IF(AND(G87="No",H87="No"),MIN(I87-L87,K87),0)</f>
        <v>0</v>
      </c>
      <c r="N87" s="218">
        <f t="shared" si="64"/>
        <v>0</v>
      </c>
      <c r="O87" s="217">
        <f t="shared" ref="O87:O112" si="76">IF(LEFT($G$7,1)="Y",L87+M87,0)</f>
        <v>0</v>
      </c>
      <c r="P87" s="217">
        <f t="shared" ref="P87:P112" si="77">IF(LEFT($G$7,1)="M",L87+M87,0)</f>
        <v>0</v>
      </c>
      <c r="Q87" s="217">
        <f t="shared" ref="Q87:Q112" si="78">IF(LEFT($G$7,1)="A",L87+M87,0)</f>
        <v>0</v>
      </c>
      <c r="R87" s="217">
        <f t="shared" ref="R87:R112" si="79">IF(LEFT($G$7,1)="L",L87+M87,0)</f>
        <v>0</v>
      </c>
      <c r="S87" s="242">
        <f t="shared" ref="S87:S112" si="80">C87+O87</f>
        <v>1008</v>
      </c>
      <c r="T87" s="215">
        <f t="shared" ref="T87:T112" si="81">D87-L87</f>
        <v>192</v>
      </c>
      <c r="U87" s="215">
        <f t="shared" ref="U87:U112" si="82">E87-M87</f>
        <v>0</v>
      </c>
      <c r="V87" s="243">
        <f t="shared" ref="V87:V112" si="83">F87-N87</f>
        <v>181</v>
      </c>
      <c r="W87" s="225" t="str">
        <f t="shared" si="65"/>
        <v>Yes</v>
      </c>
      <c r="X87" s="225" t="str">
        <f t="shared" si="66"/>
        <v>No</v>
      </c>
      <c r="Y87" s="225">
        <f>IF(AND('Data Entry'!D$3&gt;=Fermentation!B87,'Data Entry'!D$3&lt;=Fermentation!A87),10,ROUND(Y86*(1+Y$116),0))</f>
        <v>0</v>
      </c>
      <c r="Z87" s="225">
        <f t="shared" si="67"/>
        <v>192</v>
      </c>
      <c r="AA87" s="225">
        <f t="shared" si="68"/>
        <v>0</v>
      </c>
      <c r="AB87" s="225">
        <f t="shared" ref="AB87:AB112" si="84">IF(AND(W87="No",X87="No"),MIN(Y87,Z87),0)</f>
        <v>0</v>
      </c>
      <c r="AC87" s="225">
        <f t="shared" ref="AC87:AC112" si="85">IF(AND(W87="No",X87="No"),MIN(Y87-AB87,AA87),0)</f>
        <v>0</v>
      </c>
      <c r="AD87" s="226">
        <f t="shared" si="69"/>
        <v>0</v>
      </c>
      <c r="AE87" s="225">
        <f t="shared" ref="AE87:AE112" si="86">IF(LEFT($W$7,1)="Y",AB87+AC87,0)</f>
        <v>0</v>
      </c>
      <c r="AF87" s="225">
        <f t="shared" ref="AF87:AF112" si="87">IF(LEFT($W$7,1)="M",AB87+AC87,0)</f>
        <v>0</v>
      </c>
      <c r="AG87" s="225">
        <f t="shared" ref="AG87:AG112" si="88">IF(LEFT($W$7,1)="A",AB87+AC87,0)</f>
        <v>0</v>
      </c>
      <c r="AH87" s="225">
        <f t="shared" ref="AH87:AH112" si="89">IF(LEFT($W$7,1)="L",AB87+AC87,0)</f>
        <v>0</v>
      </c>
    </row>
    <row r="88" spans="1:34" x14ac:dyDescent="0.2">
      <c r="A88" s="222">
        <v>588</v>
      </c>
      <c r="B88" s="222">
        <v>565</v>
      </c>
      <c r="C88" s="215">
        <f t="shared" si="70"/>
        <v>1008</v>
      </c>
      <c r="D88" s="215">
        <f t="shared" si="71"/>
        <v>192</v>
      </c>
      <c r="E88" s="215">
        <f t="shared" si="72"/>
        <v>0</v>
      </c>
      <c r="F88" s="215">
        <f t="shared" si="73"/>
        <v>181</v>
      </c>
      <c r="G88" s="217" t="str">
        <f t="shared" si="60"/>
        <v>Yes</v>
      </c>
      <c r="H88" s="217" t="str">
        <f t="shared" si="61"/>
        <v>Yes</v>
      </c>
      <c r="I88" s="217">
        <f>IF(AND('Data Entry'!D$2&gt;=Fermentation!B88,'Data Entry'!D$2&lt;=Fermentation!A88,G88="No",H88="No"),10,ROUND(I87*(1+I$116),0))</f>
        <v>64204</v>
      </c>
      <c r="J88" s="217">
        <f t="shared" si="62"/>
        <v>181</v>
      </c>
      <c r="K88" s="217">
        <f t="shared" si="63"/>
        <v>0</v>
      </c>
      <c r="L88" s="217">
        <f t="shared" si="74"/>
        <v>0</v>
      </c>
      <c r="M88" s="217">
        <f t="shared" si="75"/>
        <v>0</v>
      </c>
      <c r="N88" s="218">
        <f t="shared" si="64"/>
        <v>0</v>
      </c>
      <c r="O88" s="217">
        <f t="shared" si="76"/>
        <v>0</v>
      </c>
      <c r="P88" s="217">
        <f t="shared" si="77"/>
        <v>0</v>
      </c>
      <c r="Q88" s="217">
        <f t="shared" si="78"/>
        <v>0</v>
      </c>
      <c r="R88" s="217">
        <f t="shared" si="79"/>
        <v>0</v>
      </c>
      <c r="S88" s="242">
        <f t="shared" si="80"/>
        <v>1008</v>
      </c>
      <c r="T88" s="215">
        <f t="shared" si="81"/>
        <v>192</v>
      </c>
      <c r="U88" s="215">
        <f t="shared" si="82"/>
        <v>0</v>
      </c>
      <c r="V88" s="243">
        <f t="shared" si="83"/>
        <v>181</v>
      </c>
      <c r="W88" s="225" t="str">
        <f t="shared" si="65"/>
        <v>Yes</v>
      </c>
      <c r="X88" s="225" t="str">
        <f t="shared" si="66"/>
        <v>No</v>
      </c>
      <c r="Y88" s="225">
        <f>IF(AND('Data Entry'!D$3&gt;=Fermentation!B88,'Data Entry'!D$3&lt;=Fermentation!A88),10,ROUND(Y87*(1+Y$116),0))</f>
        <v>0</v>
      </c>
      <c r="Z88" s="225">
        <f t="shared" si="67"/>
        <v>192</v>
      </c>
      <c r="AA88" s="225">
        <f t="shared" si="68"/>
        <v>0</v>
      </c>
      <c r="AB88" s="225">
        <f t="shared" si="84"/>
        <v>0</v>
      </c>
      <c r="AC88" s="225">
        <f t="shared" si="85"/>
        <v>0</v>
      </c>
      <c r="AD88" s="226">
        <f t="shared" si="69"/>
        <v>0</v>
      </c>
      <c r="AE88" s="225">
        <f t="shared" si="86"/>
        <v>0</v>
      </c>
      <c r="AF88" s="225">
        <f t="shared" si="87"/>
        <v>0</v>
      </c>
      <c r="AG88" s="225">
        <f t="shared" si="88"/>
        <v>0</v>
      </c>
      <c r="AH88" s="225">
        <f t="shared" si="89"/>
        <v>0</v>
      </c>
    </row>
    <row r="89" spans="1:34" x14ac:dyDescent="0.2">
      <c r="A89" s="222">
        <v>564</v>
      </c>
      <c r="B89" s="222">
        <v>541</v>
      </c>
      <c r="C89" s="215">
        <f t="shared" si="70"/>
        <v>1008</v>
      </c>
      <c r="D89" s="215">
        <f t="shared" si="71"/>
        <v>192</v>
      </c>
      <c r="E89" s="215">
        <f t="shared" si="72"/>
        <v>0</v>
      </c>
      <c r="F89" s="215">
        <f t="shared" si="73"/>
        <v>181</v>
      </c>
      <c r="G89" s="217" t="str">
        <f t="shared" si="60"/>
        <v>Yes</v>
      </c>
      <c r="H89" s="217" t="str">
        <f t="shared" si="61"/>
        <v>Yes</v>
      </c>
      <c r="I89" s="217">
        <f>IF(AND('Data Entry'!D$2&gt;=Fermentation!B89,'Data Entry'!D$2&lt;=Fermentation!A89,G89="No",H89="No"),10,ROUND(I88*(1+I$116),0))</f>
        <v>89886</v>
      </c>
      <c r="J89" s="217">
        <f t="shared" si="62"/>
        <v>181</v>
      </c>
      <c r="K89" s="217">
        <f t="shared" si="63"/>
        <v>0</v>
      </c>
      <c r="L89" s="217">
        <f t="shared" si="74"/>
        <v>0</v>
      </c>
      <c r="M89" s="217">
        <f t="shared" si="75"/>
        <v>0</v>
      </c>
      <c r="N89" s="218">
        <f t="shared" si="64"/>
        <v>0</v>
      </c>
      <c r="O89" s="217">
        <f t="shared" si="76"/>
        <v>0</v>
      </c>
      <c r="P89" s="217">
        <f t="shared" si="77"/>
        <v>0</v>
      </c>
      <c r="Q89" s="217">
        <f t="shared" si="78"/>
        <v>0</v>
      </c>
      <c r="R89" s="217">
        <f t="shared" si="79"/>
        <v>0</v>
      </c>
      <c r="S89" s="242">
        <f t="shared" si="80"/>
        <v>1008</v>
      </c>
      <c r="T89" s="215">
        <f t="shared" si="81"/>
        <v>192</v>
      </c>
      <c r="U89" s="215">
        <f t="shared" si="82"/>
        <v>0</v>
      </c>
      <c r="V89" s="243">
        <f t="shared" si="83"/>
        <v>181</v>
      </c>
      <c r="W89" s="225" t="str">
        <f t="shared" si="65"/>
        <v>Yes</v>
      </c>
      <c r="X89" s="225" t="str">
        <f t="shared" si="66"/>
        <v>No</v>
      </c>
      <c r="Y89" s="225">
        <f>IF(AND('Data Entry'!D$3&gt;=Fermentation!B89,'Data Entry'!D$3&lt;=Fermentation!A89),10,ROUND(Y88*(1+Y$116),0))</f>
        <v>0</v>
      </c>
      <c r="Z89" s="225">
        <f t="shared" si="67"/>
        <v>192</v>
      </c>
      <c r="AA89" s="225">
        <f t="shared" si="68"/>
        <v>0</v>
      </c>
      <c r="AB89" s="225">
        <f t="shared" si="84"/>
        <v>0</v>
      </c>
      <c r="AC89" s="225">
        <f t="shared" si="85"/>
        <v>0</v>
      </c>
      <c r="AD89" s="226">
        <f t="shared" si="69"/>
        <v>0</v>
      </c>
      <c r="AE89" s="225">
        <f t="shared" si="86"/>
        <v>0</v>
      </c>
      <c r="AF89" s="225">
        <f t="shared" si="87"/>
        <v>0</v>
      </c>
      <c r="AG89" s="225">
        <f t="shared" si="88"/>
        <v>0</v>
      </c>
      <c r="AH89" s="225">
        <f t="shared" si="89"/>
        <v>0</v>
      </c>
    </row>
    <row r="90" spans="1:34" x14ac:dyDescent="0.2">
      <c r="A90" s="222">
        <v>540</v>
      </c>
      <c r="B90" s="222">
        <v>517</v>
      </c>
      <c r="C90" s="215">
        <f t="shared" si="70"/>
        <v>1008</v>
      </c>
      <c r="D90" s="215">
        <f t="shared" si="71"/>
        <v>192</v>
      </c>
      <c r="E90" s="215">
        <f t="shared" si="72"/>
        <v>0</v>
      </c>
      <c r="F90" s="215">
        <f t="shared" si="73"/>
        <v>181</v>
      </c>
      <c r="G90" s="217" t="str">
        <f t="shared" si="60"/>
        <v>Yes</v>
      </c>
      <c r="H90" s="217" t="str">
        <f t="shared" si="61"/>
        <v>Yes</v>
      </c>
      <c r="I90" s="217">
        <f>IF(AND('Data Entry'!D$2&gt;=Fermentation!B90,'Data Entry'!D$2&lt;=Fermentation!A90,G90="No",H90="No"),10,ROUND(I89*(1+I$116),0))</f>
        <v>125840</v>
      </c>
      <c r="J90" s="217">
        <f t="shared" si="62"/>
        <v>181</v>
      </c>
      <c r="K90" s="217">
        <f t="shared" si="63"/>
        <v>0</v>
      </c>
      <c r="L90" s="217">
        <f t="shared" si="74"/>
        <v>0</v>
      </c>
      <c r="M90" s="217">
        <f t="shared" si="75"/>
        <v>0</v>
      </c>
      <c r="N90" s="218">
        <f t="shared" si="64"/>
        <v>0</v>
      </c>
      <c r="O90" s="217">
        <f t="shared" si="76"/>
        <v>0</v>
      </c>
      <c r="P90" s="217">
        <f t="shared" si="77"/>
        <v>0</v>
      </c>
      <c r="Q90" s="217">
        <f t="shared" si="78"/>
        <v>0</v>
      </c>
      <c r="R90" s="217">
        <f t="shared" si="79"/>
        <v>0</v>
      </c>
      <c r="S90" s="242">
        <f t="shared" si="80"/>
        <v>1008</v>
      </c>
      <c r="T90" s="215">
        <f t="shared" si="81"/>
        <v>192</v>
      </c>
      <c r="U90" s="215">
        <f t="shared" si="82"/>
        <v>0</v>
      </c>
      <c r="V90" s="243">
        <f t="shared" si="83"/>
        <v>181</v>
      </c>
      <c r="W90" s="225" t="str">
        <f t="shared" si="65"/>
        <v>Yes</v>
      </c>
      <c r="X90" s="225" t="str">
        <f t="shared" si="66"/>
        <v>No</v>
      </c>
      <c r="Y90" s="225">
        <f>IF(AND('Data Entry'!D$3&gt;=Fermentation!B90,'Data Entry'!D$3&lt;=Fermentation!A90),10,ROUND(Y89*(1+Y$116),0))</f>
        <v>0</v>
      </c>
      <c r="Z90" s="225">
        <f t="shared" si="67"/>
        <v>192</v>
      </c>
      <c r="AA90" s="225">
        <f t="shared" si="68"/>
        <v>0</v>
      </c>
      <c r="AB90" s="225">
        <f t="shared" si="84"/>
        <v>0</v>
      </c>
      <c r="AC90" s="225">
        <f t="shared" si="85"/>
        <v>0</v>
      </c>
      <c r="AD90" s="226">
        <f t="shared" si="69"/>
        <v>0</v>
      </c>
      <c r="AE90" s="225">
        <f t="shared" si="86"/>
        <v>0</v>
      </c>
      <c r="AF90" s="225">
        <f t="shared" si="87"/>
        <v>0</v>
      </c>
      <c r="AG90" s="225">
        <f t="shared" si="88"/>
        <v>0</v>
      </c>
      <c r="AH90" s="225">
        <f t="shared" si="89"/>
        <v>0</v>
      </c>
    </row>
    <row r="91" spans="1:34" x14ac:dyDescent="0.2">
      <c r="A91" s="222">
        <v>516</v>
      </c>
      <c r="B91" s="222">
        <v>493</v>
      </c>
      <c r="C91" s="215">
        <f t="shared" si="70"/>
        <v>1008</v>
      </c>
      <c r="D91" s="215">
        <f t="shared" si="71"/>
        <v>192</v>
      </c>
      <c r="E91" s="215">
        <f t="shared" si="72"/>
        <v>0</v>
      </c>
      <c r="F91" s="215">
        <f t="shared" si="73"/>
        <v>181</v>
      </c>
      <c r="G91" s="217" t="str">
        <f t="shared" si="60"/>
        <v>Yes</v>
      </c>
      <c r="H91" s="217" t="str">
        <f t="shared" si="61"/>
        <v>Yes</v>
      </c>
      <c r="I91" s="217">
        <f>IF(AND('Data Entry'!D$2&gt;=Fermentation!B91,'Data Entry'!D$2&lt;=Fermentation!A91,G91="No",H91="No"),10,ROUND(I90*(1+I$116),0))</f>
        <v>176176</v>
      </c>
      <c r="J91" s="217">
        <f t="shared" si="62"/>
        <v>181</v>
      </c>
      <c r="K91" s="217">
        <f t="shared" si="63"/>
        <v>0</v>
      </c>
      <c r="L91" s="217">
        <f t="shared" si="74"/>
        <v>0</v>
      </c>
      <c r="M91" s="217">
        <f t="shared" si="75"/>
        <v>0</v>
      </c>
      <c r="N91" s="218">
        <f t="shared" si="64"/>
        <v>0</v>
      </c>
      <c r="O91" s="217">
        <f t="shared" si="76"/>
        <v>0</v>
      </c>
      <c r="P91" s="217">
        <f t="shared" si="77"/>
        <v>0</v>
      </c>
      <c r="Q91" s="217">
        <f t="shared" si="78"/>
        <v>0</v>
      </c>
      <c r="R91" s="217">
        <f t="shared" si="79"/>
        <v>0</v>
      </c>
      <c r="S91" s="242">
        <f t="shared" si="80"/>
        <v>1008</v>
      </c>
      <c r="T91" s="215">
        <f t="shared" si="81"/>
        <v>192</v>
      </c>
      <c r="U91" s="215">
        <f t="shared" si="82"/>
        <v>0</v>
      </c>
      <c r="V91" s="243">
        <f t="shared" si="83"/>
        <v>181</v>
      </c>
      <c r="W91" s="225" t="str">
        <f t="shared" si="65"/>
        <v>Yes</v>
      </c>
      <c r="X91" s="225" t="str">
        <f t="shared" si="66"/>
        <v>No</v>
      </c>
      <c r="Y91" s="225">
        <f>IF(AND('Data Entry'!D$3&gt;=Fermentation!B91,'Data Entry'!D$3&lt;=Fermentation!A91),10,ROUND(Y90*(1+Y$116),0))</f>
        <v>0</v>
      </c>
      <c r="Z91" s="225">
        <f t="shared" si="67"/>
        <v>192</v>
      </c>
      <c r="AA91" s="225">
        <f t="shared" si="68"/>
        <v>0</v>
      </c>
      <c r="AB91" s="225">
        <f t="shared" si="84"/>
        <v>0</v>
      </c>
      <c r="AC91" s="225">
        <f t="shared" si="85"/>
        <v>0</v>
      </c>
      <c r="AD91" s="226">
        <f t="shared" si="69"/>
        <v>0</v>
      </c>
      <c r="AE91" s="225">
        <f t="shared" si="86"/>
        <v>0</v>
      </c>
      <c r="AF91" s="225">
        <f t="shared" si="87"/>
        <v>0</v>
      </c>
      <c r="AG91" s="225">
        <f t="shared" si="88"/>
        <v>0</v>
      </c>
      <c r="AH91" s="225">
        <f t="shared" si="89"/>
        <v>0</v>
      </c>
    </row>
    <row r="92" spans="1:34" x14ac:dyDescent="0.2">
      <c r="A92" s="222">
        <v>492</v>
      </c>
      <c r="B92" s="222">
        <v>469</v>
      </c>
      <c r="C92" s="215">
        <f t="shared" si="70"/>
        <v>1008</v>
      </c>
      <c r="D92" s="215">
        <f t="shared" si="71"/>
        <v>192</v>
      </c>
      <c r="E92" s="215">
        <f t="shared" si="72"/>
        <v>0</v>
      </c>
      <c r="F92" s="215">
        <f t="shared" si="73"/>
        <v>181</v>
      </c>
      <c r="G92" s="217" t="str">
        <f t="shared" si="60"/>
        <v>Yes</v>
      </c>
      <c r="H92" s="217" t="str">
        <f t="shared" si="61"/>
        <v>Yes</v>
      </c>
      <c r="I92" s="217">
        <f>IF(AND('Data Entry'!D$2&gt;=Fermentation!B92,'Data Entry'!D$2&lt;=Fermentation!A92,G92="No",H92="No"),10,ROUND(I91*(1+I$116),0))</f>
        <v>246646</v>
      </c>
      <c r="J92" s="217">
        <f t="shared" si="62"/>
        <v>181</v>
      </c>
      <c r="K92" s="217">
        <f t="shared" si="63"/>
        <v>0</v>
      </c>
      <c r="L92" s="217">
        <f t="shared" si="74"/>
        <v>0</v>
      </c>
      <c r="M92" s="217">
        <f t="shared" si="75"/>
        <v>0</v>
      </c>
      <c r="N92" s="218">
        <f t="shared" si="64"/>
        <v>0</v>
      </c>
      <c r="O92" s="217">
        <f t="shared" si="76"/>
        <v>0</v>
      </c>
      <c r="P92" s="217">
        <f t="shared" si="77"/>
        <v>0</v>
      </c>
      <c r="Q92" s="217">
        <f t="shared" si="78"/>
        <v>0</v>
      </c>
      <c r="R92" s="217">
        <f t="shared" si="79"/>
        <v>0</v>
      </c>
      <c r="S92" s="242">
        <f t="shared" si="80"/>
        <v>1008</v>
      </c>
      <c r="T92" s="215">
        <f t="shared" si="81"/>
        <v>192</v>
      </c>
      <c r="U92" s="215">
        <f t="shared" si="82"/>
        <v>0</v>
      </c>
      <c r="V92" s="243">
        <f t="shared" si="83"/>
        <v>181</v>
      </c>
      <c r="W92" s="225" t="str">
        <f t="shared" si="65"/>
        <v>Yes</v>
      </c>
      <c r="X92" s="225" t="str">
        <f t="shared" si="66"/>
        <v>No</v>
      </c>
      <c r="Y92" s="225">
        <f>IF(AND('Data Entry'!D$3&gt;=Fermentation!B92,'Data Entry'!D$3&lt;=Fermentation!A92),10,ROUND(Y91*(1+Y$116),0))</f>
        <v>0</v>
      </c>
      <c r="Z92" s="225">
        <f t="shared" si="67"/>
        <v>192</v>
      </c>
      <c r="AA92" s="225">
        <f t="shared" si="68"/>
        <v>0</v>
      </c>
      <c r="AB92" s="225">
        <f t="shared" si="84"/>
        <v>0</v>
      </c>
      <c r="AC92" s="225">
        <f t="shared" si="85"/>
        <v>0</v>
      </c>
      <c r="AD92" s="226">
        <f t="shared" si="69"/>
        <v>0</v>
      </c>
      <c r="AE92" s="225">
        <f t="shared" si="86"/>
        <v>0</v>
      </c>
      <c r="AF92" s="225">
        <f t="shared" si="87"/>
        <v>0</v>
      </c>
      <c r="AG92" s="225">
        <f t="shared" si="88"/>
        <v>0</v>
      </c>
      <c r="AH92" s="225">
        <f t="shared" si="89"/>
        <v>0</v>
      </c>
    </row>
    <row r="93" spans="1:34" x14ac:dyDescent="0.2">
      <c r="A93" s="222">
        <v>468</v>
      </c>
      <c r="B93" s="222">
        <v>445</v>
      </c>
      <c r="C93" s="215">
        <f t="shared" si="70"/>
        <v>1008</v>
      </c>
      <c r="D93" s="215">
        <f t="shared" si="71"/>
        <v>192</v>
      </c>
      <c r="E93" s="215">
        <f t="shared" si="72"/>
        <v>0</v>
      </c>
      <c r="F93" s="215">
        <f t="shared" si="73"/>
        <v>181</v>
      </c>
      <c r="G93" s="217" t="str">
        <f t="shared" si="60"/>
        <v>Yes</v>
      </c>
      <c r="H93" s="217" t="str">
        <f t="shared" si="61"/>
        <v>Yes</v>
      </c>
      <c r="I93" s="217">
        <f>IF(AND('Data Entry'!D$2&gt;=Fermentation!B93,'Data Entry'!D$2&lt;=Fermentation!A93,G93="No",H93="No"),10,ROUND(I92*(1+I$116),0))</f>
        <v>345304</v>
      </c>
      <c r="J93" s="217">
        <f t="shared" si="62"/>
        <v>181</v>
      </c>
      <c r="K93" s="217">
        <f t="shared" si="63"/>
        <v>0</v>
      </c>
      <c r="L93" s="217">
        <f t="shared" si="74"/>
        <v>0</v>
      </c>
      <c r="M93" s="217">
        <f t="shared" si="75"/>
        <v>0</v>
      </c>
      <c r="N93" s="218">
        <f t="shared" si="64"/>
        <v>0</v>
      </c>
      <c r="O93" s="217">
        <f t="shared" si="76"/>
        <v>0</v>
      </c>
      <c r="P93" s="217">
        <f t="shared" si="77"/>
        <v>0</v>
      </c>
      <c r="Q93" s="217">
        <f t="shared" si="78"/>
        <v>0</v>
      </c>
      <c r="R93" s="217">
        <f t="shared" si="79"/>
        <v>0</v>
      </c>
      <c r="S93" s="242">
        <f t="shared" si="80"/>
        <v>1008</v>
      </c>
      <c r="T93" s="215">
        <f t="shared" si="81"/>
        <v>192</v>
      </c>
      <c r="U93" s="215">
        <f t="shared" si="82"/>
        <v>0</v>
      </c>
      <c r="V93" s="243">
        <f t="shared" si="83"/>
        <v>181</v>
      </c>
      <c r="W93" s="225" t="str">
        <f t="shared" si="65"/>
        <v>Yes</v>
      </c>
      <c r="X93" s="225" t="str">
        <f t="shared" si="66"/>
        <v>No</v>
      </c>
      <c r="Y93" s="225">
        <f>IF(AND('Data Entry'!D$3&gt;=Fermentation!B93,'Data Entry'!D$3&lt;=Fermentation!A93),10,ROUND(Y92*(1+Y$116),0))</f>
        <v>0</v>
      </c>
      <c r="Z93" s="225">
        <f t="shared" si="67"/>
        <v>192</v>
      </c>
      <c r="AA93" s="225">
        <f t="shared" si="68"/>
        <v>0</v>
      </c>
      <c r="AB93" s="225">
        <f t="shared" si="84"/>
        <v>0</v>
      </c>
      <c r="AC93" s="225">
        <f t="shared" si="85"/>
        <v>0</v>
      </c>
      <c r="AD93" s="226">
        <f t="shared" si="69"/>
        <v>0</v>
      </c>
      <c r="AE93" s="225">
        <f t="shared" si="86"/>
        <v>0</v>
      </c>
      <c r="AF93" s="225">
        <f t="shared" si="87"/>
        <v>0</v>
      </c>
      <c r="AG93" s="225">
        <f t="shared" si="88"/>
        <v>0</v>
      </c>
      <c r="AH93" s="225">
        <f t="shared" si="89"/>
        <v>0</v>
      </c>
    </row>
    <row r="94" spans="1:34" x14ac:dyDescent="0.2">
      <c r="A94" s="222">
        <v>444</v>
      </c>
      <c r="B94" s="222">
        <v>421</v>
      </c>
      <c r="C94" s="215">
        <f t="shared" si="70"/>
        <v>1008</v>
      </c>
      <c r="D94" s="215">
        <f t="shared" si="71"/>
        <v>192</v>
      </c>
      <c r="E94" s="215">
        <f t="shared" si="72"/>
        <v>0</v>
      </c>
      <c r="F94" s="215">
        <f t="shared" si="73"/>
        <v>181</v>
      </c>
      <c r="G94" s="217" t="str">
        <f t="shared" si="60"/>
        <v>Yes</v>
      </c>
      <c r="H94" s="217" t="str">
        <f t="shared" si="61"/>
        <v>Yes</v>
      </c>
      <c r="I94" s="217">
        <f>IF(AND('Data Entry'!D$2&gt;=Fermentation!B94,'Data Entry'!D$2&lt;=Fermentation!A94,G94="No",H94="No"),10,ROUND(I93*(1+I$116),0))</f>
        <v>483426</v>
      </c>
      <c r="J94" s="217">
        <f t="shared" si="62"/>
        <v>181</v>
      </c>
      <c r="K94" s="217">
        <f t="shared" si="63"/>
        <v>0</v>
      </c>
      <c r="L94" s="217">
        <f t="shared" si="74"/>
        <v>0</v>
      </c>
      <c r="M94" s="217">
        <f t="shared" si="75"/>
        <v>0</v>
      </c>
      <c r="N94" s="218">
        <f t="shared" si="64"/>
        <v>0</v>
      </c>
      <c r="O94" s="217">
        <f t="shared" si="76"/>
        <v>0</v>
      </c>
      <c r="P94" s="217">
        <f t="shared" si="77"/>
        <v>0</v>
      </c>
      <c r="Q94" s="217">
        <f t="shared" si="78"/>
        <v>0</v>
      </c>
      <c r="R94" s="217">
        <f t="shared" si="79"/>
        <v>0</v>
      </c>
      <c r="S94" s="242">
        <f t="shared" si="80"/>
        <v>1008</v>
      </c>
      <c r="T94" s="215">
        <f t="shared" si="81"/>
        <v>192</v>
      </c>
      <c r="U94" s="215">
        <f t="shared" si="82"/>
        <v>0</v>
      </c>
      <c r="V94" s="243">
        <f t="shared" si="83"/>
        <v>181</v>
      </c>
      <c r="W94" s="225" t="str">
        <f t="shared" si="65"/>
        <v>Yes</v>
      </c>
      <c r="X94" s="225" t="str">
        <f t="shared" si="66"/>
        <v>No</v>
      </c>
      <c r="Y94" s="225">
        <f>IF(AND('Data Entry'!D$3&gt;=Fermentation!B94,'Data Entry'!D$3&lt;=Fermentation!A94),10,ROUND(Y93*(1+Y$116),0))</f>
        <v>0</v>
      </c>
      <c r="Z94" s="225">
        <f t="shared" si="67"/>
        <v>192</v>
      </c>
      <c r="AA94" s="225">
        <f t="shared" si="68"/>
        <v>0</v>
      </c>
      <c r="AB94" s="225">
        <f t="shared" si="84"/>
        <v>0</v>
      </c>
      <c r="AC94" s="225">
        <f t="shared" si="85"/>
        <v>0</v>
      </c>
      <c r="AD94" s="226">
        <f t="shared" si="69"/>
        <v>0</v>
      </c>
      <c r="AE94" s="225">
        <f t="shared" si="86"/>
        <v>0</v>
      </c>
      <c r="AF94" s="225">
        <f t="shared" si="87"/>
        <v>0</v>
      </c>
      <c r="AG94" s="225">
        <f t="shared" si="88"/>
        <v>0</v>
      </c>
      <c r="AH94" s="225">
        <f t="shared" si="89"/>
        <v>0</v>
      </c>
    </row>
    <row r="95" spans="1:34" x14ac:dyDescent="0.2">
      <c r="A95" s="222">
        <v>420</v>
      </c>
      <c r="B95" s="222">
        <v>397</v>
      </c>
      <c r="C95" s="215">
        <f t="shared" si="70"/>
        <v>1008</v>
      </c>
      <c r="D95" s="215">
        <f t="shared" si="71"/>
        <v>192</v>
      </c>
      <c r="E95" s="215">
        <f t="shared" si="72"/>
        <v>0</v>
      </c>
      <c r="F95" s="215">
        <f t="shared" si="73"/>
        <v>181</v>
      </c>
      <c r="G95" s="217" t="str">
        <f t="shared" si="60"/>
        <v>Yes</v>
      </c>
      <c r="H95" s="217" t="str">
        <f t="shared" si="61"/>
        <v>Yes</v>
      </c>
      <c r="I95" s="217">
        <f>IF(AND('Data Entry'!D$2&gt;=Fermentation!B95,'Data Entry'!D$2&lt;=Fermentation!A95,G95="No",H95="No"),10,ROUND(I94*(1+I$116),0))</f>
        <v>676796</v>
      </c>
      <c r="J95" s="217">
        <f t="shared" si="62"/>
        <v>181</v>
      </c>
      <c r="K95" s="217">
        <f t="shared" si="63"/>
        <v>0</v>
      </c>
      <c r="L95" s="217">
        <f t="shared" si="74"/>
        <v>0</v>
      </c>
      <c r="M95" s="217">
        <f t="shared" si="75"/>
        <v>0</v>
      </c>
      <c r="N95" s="218">
        <f t="shared" si="64"/>
        <v>0</v>
      </c>
      <c r="O95" s="217">
        <f t="shared" si="76"/>
        <v>0</v>
      </c>
      <c r="P95" s="217">
        <f t="shared" si="77"/>
        <v>0</v>
      </c>
      <c r="Q95" s="217">
        <f t="shared" si="78"/>
        <v>0</v>
      </c>
      <c r="R95" s="217">
        <f t="shared" si="79"/>
        <v>0</v>
      </c>
      <c r="S95" s="242">
        <f t="shared" si="80"/>
        <v>1008</v>
      </c>
      <c r="T95" s="215">
        <f t="shared" si="81"/>
        <v>192</v>
      </c>
      <c r="U95" s="215">
        <f t="shared" si="82"/>
        <v>0</v>
      </c>
      <c r="V95" s="243">
        <f t="shared" si="83"/>
        <v>181</v>
      </c>
      <c r="W95" s="225" t="str">
        <f t="shared" si="65"/>
        <v>Yes</v>
      </c>
      <c r="X95" s="225" t="str">
        <f t="shared" si="66"/>
        <v>No</v>
      </c>
      <c r="Y95" s="225">
        <f>IF(AND('Data Entry'!D$3&gt;=Fermentation!B95,'Data Entry'!D$3&lt;=Fermentation!A95),10,ROUND(Y94*(1+Y$116),0))</f>
        <v>0</v>
      </c>
      <c r="Z95" s="225">
        <f t="shared" si="67"/>
        <v>192</v>
      </c>
      <c r="AA95" s="225">
        <f t="shared" si="68"/>
        <v>0</v>
      </c>
      <c r="AB95" s="225">
        <f t="shared" si="84"/>
        <v>0</v>
      </c>
      <c r="AC95" s="225">
        <f t="shared" si="85"/>
        <v>0</v>
      </c>
      <c r="AD95" s="226">
        <f t="shared" si="69"/>
        <v>0</v>
      </c>
      <c r="AE95" s="225">
        <f t="shared" si="86"/>
        <v>0</v>
      </c>
      <c r="AF95" s="225">
        <f t="shared" si="87"/>
        <v>0</v>
      </c>
      <c r="AG95" s="225">
        <f t="shared" si="88"/>
        <v>0</v>
      </c>
      <c r="AH95" s="225">
        <f t="shared" si="89"/>
        <v>0</v>
      </c>
    </row>
    <row r="96" spans="1:34" x14ac:dyDescent="0.2">
      <c r="A96" s="222">
        <v>396</v>
      </c>
      <c r="B96" s="222">
        <v>373</v>
      </c>
      <c r="C96" s="215">
        <f t="shared" si="70"/>
        <v>1008</v>
      </c>
      <c r="D96" s="215">
        <f t="shared" si="71"/>
        <v>192</v>
      </c>
      <c r="E96" s="215">
        <f t="shared" si="72"/>
        <v>0</v>
      </c>
      <c r="F96" s="215">
        <f t="shared" si="73"/>
        <v>181</v>
      </c>
      <c r="G96" s="217" t="str">
        <f t="shared" si="60"/>
        <v>Yes</v>
      </c>
      <c r="H96" s="217" t="str">
        <f t="shared" si="61"/>
        <v>Yes</v>
      </c>
      <c r="I96" s="217">
        <f>IF(AND('Data Entry'!D$2&gt;=Fermentation!B96,'Data Entry'!D$2&lt;=Fermentation!A96,G96="No",H96="No"),10,ROUND(I95*(1+I$116),0))</f>
        <v>947514</v>
      </c>
      <c r="J96" s="217">
        <f t="shared" si="62"/>
        <v>181</v>
      </c>
      <c r="K96" s="217">
        <f t="shared" si="63"/>
        <v>0</v>
      </c>
      <c r="L96" s="217">
        <f t="shared" si="74"/>
        <v>0</v>
      </c>
      <c r="M96" s="217">
        <f t="shared" si="75"/>
        <v>0</v>
      </c>
      <c r="N96" s="218">
        <f t="shared" si="64"/>
        <v>0</v>
      </c>
      <c r="O96" s="217">
        <f t="shared" si="76"/>
        <v>0</v>
      </c>
      <c r="P96" s="217">
        <f t="shared" si="77"/>
        <v>0</v>
      </c>
      <c r="Q96" s="217">
        <f t="shared" si="78"/>
        <v>0</v>
      </c>
      <c r="R96" s="217">
        <f t="shared" si="79"/>
        <v>0</v>
      </c>
      <c r="S96" s="242">
        <f t="shared" si="80"/>
        <v>1008</v>
      </c>
      <c r="T96" s="215">
        <f t="shared" si="81"/>
        <v>192</v>
      </c>
      <c r="U96" s="215">
        <f t="shared" si="82"/>
        <v>0</v>
      </c>
      <c r="V96" s="243">
        <f t="shared" si="83"/>
        <v>181</v>
      </c>
      <c r="W96" s="225" t="str">
        <f t="shared" si="65"/>
        <v>Yes</v>
      </c>
      <c r="X96" s="225" t="str">
        <f t="shared" si="66"/>
        <v>No</v>
      </c>
      <c r="Y96" s="225">
        <f>IF(AND('Data Entry'!D$3&gt;=Fermentation!B96,'Data Entry'!D$3&lt;=Fermentation!A96),10,ROUND(Y95*(1+Y$116),0))</f>
        <v>0</v>
      </c>
      <c r="Z96" s="225">
        <f t="shared" si="67"/>
        <v>192</v>
      </c>
      <c r="AA96" s="225">
        <f t="shared" si="68"/>
        <v>0</v>
      </c>
      <c r="AB96" s="225">
        <f t="shared" si="84"/>
        <v>0</v>
      </c>
      <c r="AC96" s="225">
        <f t="shared" si="85"/>
        <v>0</v>
      </c>
      <c r="AD96" s="226">
        <f t="shared" si="69"/>
        <v>0</v>
      </c>
      <c r="AE96" s="225">
        <f t="shared" si="86"/>
        <v>0</v>
      </c>
      <c r="AF96" s="225">
        <f t="shared" si="87"/>
        <v>0</v>
      </c>
      <c r="AG96" s="225">
        <f t="shared" si="88"/>
        <v>0</v>
      </c>
      <c r="AH96" s="225">
        <f t="shared" si="89"/>
        <v>0</v>
      </c>
    </row>
    <row r="97" spans="1:34" x14ac:dyDescent="0.2">
      <c r="A97" s="222">
        <v>372</v>
      </c>
      <c r="B97" s="222">
        <v>349</v>
      </c>
      <c r="C97" s="215">
        <f t="shared" si="70"/>
        <v>1008</v>
      </c>
      <c r="D97" s="215">
        <f t="shared" si="71"/>
        <v>192</v>
      </c>
      <c r="E97" s="215">
        <f t="shared" si="72"/>
        <v>0</v>
      </c>
      <c r="F97" s="215">
        <f t="shared" si="73"/>
        <v>181</v>
      </c>
      <c r="G97" s="217" t="str">
        <f t="shared" si="60"/>
        <v>Yes</v>
      </c>
      <c r="H97" s="217" t="str">
        <f t="shared" si="61"/>
        <v>Yes</v>
      </c>
      <c r="I97" s="217">
        <f>IF(AND('Data Entry'!D$2&gt;=Fermentation!B97,'Data Entry'!D$2&lt;=Fermentation!A97,G97="No",H97="No"),10,ROUND(I96*(1+I$116),0))</f>
        <v>1326520</v>
      </c>
      <c r="J97" s="217">
        <f t="shared" si="62"/>
        <v>181</v>
      </c>
      <c r="K97" s="217">
        <f t="shared" si="63"/>
        <v>0</v>
      </c>
      <c r="L97" s="217">
        <f t="shared" si="74"/>
        <v>0</v>
      </c>
      <c r="M97" s="217">
        <f t="shared" si="75"/>
        <v>0</v>
      </c>
      <c r="N97" s="218">
        <f t="shared" si="64"/>
        <v>0</v>
      </c>
      <c r="O97" s="217">
        <f t="shared" si="76"/>
        <v>0</v>
      </c>
      <c r="P97" s="217">
        <f t="shared" si="77"/>
        <v>0</v>
      </c>
      <c r="Q97" s="217">
        <f t="shared" si="78"/>
        <v>0</v>
      </c>
      <c r="R97" s="217">
        <f t="shared" si="79"/>
        <v>0</v>
      </c>
      <c r="S97" s="242">
        <f t="shared" si="80"/>
        <v>1008</v>
      </c>
      <c r="T97" s="215">
        <f t="shared" si="81"/>
        <v>192</v>
      </c>
      <c r="U97" s="215">
        <f t="shared" si="82"/>
        <v>0</v>
      </c>
      <c r="V97" s="243">
        <f t="shared" si="83"/>
        <v>181</v>
      </c>
      <c r="W97" s="225" t="str">
        <f t="shared" si="65"/>
        <v>Yes</v>
      </c>
      <c r="X97" s="225" t="str">
        <f t="shared" si="66"/>
        <v>No</v>
      </c>
      <c r="Y97" s="225">
        <f>IF(AND('Data Entry'!D$3&gt;=Fermentation!B97,'Data Entry'!D$3&lt;=Fermentation!A97),10,ROUND(Y96*(1+Y$116),0))</f>
        <v>0</v>
      </c>
      <c r="Z97" s="225">
        <f t="shared" si="67"/>
        <v>192</v>
      </c>
      <c r="AA97" s="225">
        <f t="shared" si="68"/>
        <v>0</v>
      </c>
      <c r="AB97" s="225">
        <f t="shared" si="84"/>
        <v>0</v>
      </c>
      <c r="AC97" s="225">
        <f t="shared" si="85"/>
        <v>0</v>
      </c>
      <c r="AD97" s="226">
        <f t="shared" si="69"/>
        <v>0</v>
      </c>
      <c r="AE97" s="225">
        <f t="shared" si="86"/>
        <v>0</v>
      </c>
      <c r="AF97" s="225">
        <f t="shared" si="87"/>
        <v>0</v>
      </c>
      <c r="AG97" s="225">
        <f t="shared" si="88"/>
        <v>0</v>
      </c>
      <c r="AH97" s="225">
        <f t="shared" si="89"/>
        <v>0</v>
      </c>
    </row>
    <row r="98" spans="1:34" x14ac:dyDescent="0.2">
      <c r="A98" s="222">
        <v>348</v>
      </c>
      <c r="B98" s="222">
        <v>325</v>
      </c>
      <c r="C98" s="215">
        <f t="shared" si="70"/>
        <v>1008</v>
      </c>
      <c r="D98" s="215">
        <f t="shared" si="71"/>
        <v>192</v>
      </c>
      <c r="E98" s="215">
        <f t="shared" si="72"/>
        <v>0</v>
      </c>
      <c r="F98" s="215">
        <f t="shared" si="73"/>
        <v>181</v>
      </c>
      <c r="G98" s="217" t="str">
        <f t="shared" si="60"/>
        <v>Yes</v>
      </c>
      <c r="H98" s="217" t="str">
        <f t="shared" si="61"/>
        <v>Yes</v>
      </c>
      <c r="I98" s="217">
        <f>IF(AND('Data Entry'!D$2&gt;=Fermentation!B98,'Data Entry'!D$2&lt;=Fermentation!A98,G98="No",H98="No"),10,ROUND(I97*(1+I$116),0))</f>
        <v>1857128</v>
      </c>
      <c r="J98" s="217">
        <f t="shared" si="62"/>
        <v>181</v>
      </c>
      <c r="K98" s="217">
        <f t="shared" si="63"/>
        <v>0</v>
      </c>
      <c r="L98" s="217">
        <f t="shared" si="74"/>
        <v>0</v>
      </c>
      <c r="M98" s="217">
        <f t="shared" si="75"/>
        <v>0</v>
      </c>
      <c r="N98" s="218">
        <f t="shared" si="64"/>
        <v>0</v>
      </c>
      <c r="O98" s="217">
        <f t="shared" si="76"/>
        <v>0</v>
      </c>
      <c r="P98" s="217">
        <f t="shared" si="77"/>
        <v>0</v>
      </c>
      <c r="Q98" s="217">
        <f t="shared" si="78"/>
        <v>0</v>
      </c>
      <c r="R98" s="217">
        <f t="shared" si="79"/>
        <v>0</v>
      </c>
      <c r="S98" s="242">
        <f t="shared" si="80"/>
        <v>1008</v>
      </c>
      <c r="T98" s="215">
        <f t="shared" si="81"/>
        <v>192</v>
      </c>
      <c r="U98" s="215">
        <f t="shared" si="82"/>
        <v>0</v>
      </c>
      <c r="V98" s="243">
        <f t="shared" si="83"/>
        <v>181</v>
      </c>
      <c r="W98" s="225" t="str">
        <f t="shared" si="65"/>
        <v>Yes</v>
      </c>
      <c r="X98" s="225" t="str">
        <f t="shared" si="66"/>
        <v>No</v>
      </c>
      <c r="Y98" s="225">
        <f>IF(AND('Data Entry'!D$3&gt;=Fermentation!B98,'Data Entry'!D$3&lt;=Fermentation!A98),10,ROUND(Y97*(1+Y$116),0))</f>
        <v>0</v>
      </c>
      <c r="Z98" s="225">
        <f t="shared" si="67"/>
        <v>192</v>
      </c>
      <c r="AA98" s="225">
        <f t="shared" si="68"/>
        <v>0</v>
      </c>
      <c r="AB98" s="225">
        <f t="shared" si="84"/>
        <v>0</v>
      </c>
      <c r="AC98" s="225">
        <f t="shared" si="85"/>
        <v>0</v>
      </c>
      <c r="AD98" s="226">
        <f t="shared" si="69"/>
        <v>0</v>
      </c>
      <c r="AE98" s="225">
        <f t="shared" si="86"/>
        <v>0</v>
      </c>
      <c r="AF98" s="225">
        <f t="shared" si="87"/>
        <v>0</v>
      </c>
      <c r="AG98" s="225">
        <f t="shared" si="88"/>
        <v>0</v>
      </c>
      <c r="AH98" s="225">
        <f t="shared" si="89"/>
        <v>0</v>
      </c>
    </row>
    <row r="99" spans="1:34" x14ac:dyDescent="0.2">
      <c r="A99" s="222">
        <v>324</v>
      </c>
      <c r="B99" s="222">
        <v>301</v>
      </c>
      <c r="C99" s="215">
        <f t="shared" si="70"/>
        <v>1008</v>
      </c>
      <c r="D99" s="215">
        <f t="shared" si="71"/>
        <v>192</v>
      </c>
      <c r="E99" s="215">
        <f t="shared" si="72"/>
        <v>0</v>
      </c>
      <c r="F99" s="215">
        <f t="shared" si="73"/>
        <v>181</v>
      </c>
      <c r="G99" s="217" t="str">
        <f t="shared" si="60"/>
        <v>Yes</v>
      </c>
      <c r="H99" s="217" t="str">
        <f t="shared" si="61"/>
        <v>Yes</v>
      </c>
      <c r="I99" s="217">
        <f>IF(AND('Data Entry'!D$2&gt;=Fermentation!B99,'Data Entry'!D$2&lt;=Fermentation!A99,G99="No",H99="No"),10,ROUND(I98*(1+I$116),0))</f>
        <v>2599979</v>
      </c>
      <c r="J99" s="217">
        <f t="shared" si="62"/>
        <v>181</v>
      </c>
      <c r="K99" s="217">
        <f t="shared" si="63"/>
        <v>0</v>
      </c>
      <c r="L99" s="217">
        <f t="shared" si="74"/>
        <v>0</v>
      </c>
      <c r="M99" s="217">
        <f t="shared" si="75"/>
        <v>0</v>
      </c>
      <c r="N99" s="218">
        <f t="shared" si="64"/>
        <v>0</v>
      </c>
      <c r="O99" s="217">
        <f t="shared" si="76"/>
        <v>0</v>
      </c>
      <c r="P99" s="217">
        <f t="shared" si="77"/>
        <v>0</v>
      </c>
      <c r="Q99" s="217">
        <f t="shared" si="78"/>
        <v>0</v>
      </c>
      <c r="R99" s="217">
        <f t="shared" si="79"/>
        <v>0</v>
      </c>
      <c r="S99" s="242">
        <f t="shared" si="80"/>
        <v>1008</v>
      </c>
      <c r="T99" s="215">
        <f t="shared" si="81"/>
        <v>192</v>
      </c>
      <c r="U99" s="215">
        <f t="shared" si="82"/>
        <v>0</v>
      </c>
      <c r="V99" s="243">
        <f t="shared" si="83"/>
        <v>181</v>
      </c>
      <c r="W99" s="225" t="str">
        <f t="shared" si="65"/>
        <v>Yes</v>
      </c>
      <c r="X99" s="225" t="str">
        <f t="shared" si="66"/>
        <v>No</v>
      </c>
      <c r="Y99" s="225">
        <f>IF(AND('Data Entry'!D$3&gt;=Fermentation!B99,'Data Entry'!D$3&lt;=Fermentation!A99),10,ROUND(Y98*(1+Y$116),0))</f>
        <v>0</v>
      </c>
      <c r="Z99" s="225">
        <f t="shared" si="67"/>
        <v>192</v>
      </c>
      <c r="AA99" s="225">
        <f t="shared" si="68"/>
        <v>0</v>
      </c>
      <c r="AB99" s="225">
        <f t="shared" si="84"/>
        <v>0</v>
      </c>
      <c r="AC99" s="225">
        <f t="shared" si="85"/>
        <v>0</v>
      </c>
      <c r="AD99" s="226">
        <f t="shared" si="69"/>
        <v>0</v>
      </c>
      <c r="AE99" s="225">
        <f t="shared" si="86"/>
        <v>0</v>
      </c>
      <c r="AF99" s="225">
        <f t="shared" si="87"/>
        <v>0</v>
      </c>
      <c r="AG99" s="225">
        <f t="shared" si="88"/>
        <v>0</v>
      </c>
      <c r="AH99" s="225">
        <f t="shared" si="89"/>
        <v>0</v>
      </c>
    </row>
    <row r="100" spans="1:34" x14ac:dyDescent="0.2">
      <c r="A100" s="222">
        <v>300</v>
      </c>
      <c r="B100" s="222">
        <v>277</v>
      </c>
      <c r="C100" s="215">
        <f t="shared" si="70"/>
        <v>1008</v>
      </c>
      <c r="D100" s="215">
        <f t="shared" si="71"/>
        <v>192</v>
      </c>
      <c r="E100" s="215">
        <f t="shared" si="72"/>
        <v>0</v>
      </c>
      <c r="F100" s="215">
        <f t="shared" si="73"/>
        <v>181</v>
      </c>
      <c r="G100" s="217" t="str">
        <f t="shared" si="60"/>
        <v>Yes</v>
      </c>
      <c r="H100" s="217" t="str">
        <f t="shared" si="61"/>
        <v>Yes</v>
      </c>
      <c r="I100" s="217">
        <f>IF(AND('Data Entry'!D$2&gt;=Fermentation!B100,'Data Entry'!D$2&lt;=Fermentation!A100,G100="No",H100="No"),10,ROUND(I99*(1+I$116),0))</f>
        <v>3639971</v>
      </c>
      <c r="J100" s="217">
        <f t="shared" si="62"/>
        <v>181</v>
      </c>
      <c r="K100" s="217">
        <f t="shared" si="63"/>
        <v>0</v>
      </c>
      <c r="L100" s="217">
        <f t="shared" si="74"/>
        <v>0</v>
      </c>
      <c r="M100" s="217">
        <f t="shared" si="75"/>
        <v>0</v>
      </c>
      <c r="N100" s="218">
        <f t="shared" si="64"/>
        <v>0</v>
      </c>
      <c r="O100" s="217">
        <f t="shared" si="76"/>
        <v>0</v>
      </c>
      <c r="P100" s="217">
        <f t="shared" si="77"/>
        <v>0</v>
      </c>
      <c r="Q100" s="217">
        <f t="shared" si="78"/>
        <v>0</v>
      </c>
      <c r="R100" s="217">
        <f t="shared" si="79"/>
        <v>0</v>
      </c>
      <c r="S100" s="242">
        <f t="shared" si="80"/>
        <v>1008</v>
      </c>
      <c r="T100" s="215">
        <f t="shared" si="81"/>
        <v>192</v>
      </c>
      <c r="U100" s="215">
        <f t="shared" si="82"/>
        <v>0</v>
      </c>
      <c r="V100" s="243">
        <f t="shared" si="83"/>
        <v>181</v>
      </c>
      <c r="W100" s="225" t="str">
        <f t="shared" si="65"/>
        <v>Yes</v>
      </c>
      <c r="X100" s="225" t="str">
        <f t="shared" si="66"/>
        <v>No</v>
      </c>
      <c r="Y100" s="225">
        <f>IF(AND('Data Entry'!D$3&gt;=Fermentation!B100,'Data Entry'!D$3&lt;=Fermentation!A100),10,ROUND(Y99*(1+Y$116),0))</f>
        <v>0</v>
      </c>
      <c r="Z100" s="225">
        <f t="shared" si="67"/>
        <v>192</v>
      </c>
      <c r="AA100" s="225">
        <f t="shared" si="68"/>
        <v>0</v>
      </c>
      <c r="AB100" s="225">
        <f t="shared" si="84"/>
        <v>0</v>
      </c>
      <c r="AC100" s="225">
        <f t="shared" si="85"/>
        <v>0</v>
      </c>
      <c r="AD100" s="226">
        <f t="shared" si="69"/>
        <v>0</v>
      </c>
      <c r="AE100" s="225">
        <f t="shared" si="86"/>
        <v>0</v>
      </c>
      <c r="AF100" s="225">
        <f t="shared" si="87"/>
        <v>0</v>
      </c>
      <c r="AG100" s="225">
        <f t="shared" si="88"/>
        <v>0</v>
      </c>
      <c r="AH100" s="225">
        <f t="shared" si="89"/>
        <v>0</v>
      </c>
    </row>
    <row r="101" spans="1:34" x14ac:dyDescent="0.2">
      <c r="A101" s="222">
        <v>276</v>
      </c>
      <c r="B101" s="222">
        <v>253</v>
      </c>
      <c r="C101" s="215">
        <f t="shared" si="70"/>
        <v>1008</v>
      </c>
      <c r="D101" s="215">
        <f t="shared" si="71"/>
        <v>192</v>
      </c>
      <c r="E101" s="215">
        <f t="shared" si="72"/>
        <v>0</v>
      </c>
      <c r="F101" s="215">
        <f t="shared" si="73"/>
        <v>181</v>
      </c>
      <c r="G101" s="217" t="str">
        <f t="shared" si="60"/>
        <v>Yes</v>
      </c>
      <c r="H101" s="217" t="str">
        <f t="shared" si="61"/>
        <v>Yes</v>
      </c>
      <c r="I101" s="217">
        <f>IF(AND('Data Entry'!D$2&gt;=Fermentation!B101,'Data Entry'!D$2&lt;=Fermentation!A101,G101="No",H101="No"),10,ROUND(I100*(1+I$116),0))</f>
        <v>5095959</v>
      </c>
      <c r="J101" s="217">
        <f t="shared" si="62"/>
        <v>181</v>
      </c>
      <c r="K101" s="217">
        <f t="shared" si="63"/>
        <v>0</v>
      </c>
      <c r="L101" s="217">
        <f t="shared" si="74"/>
        <v>0</v>
      </c>
      <c r="M101" s="217">
        <f t="shared" si="75"/>
        <v>0</v>
      </c>
      <c r="N101" s="218">
        <f t="shared" si="64"/>
        <v>0</v>
      </c>
      <c r="O101" s="217">
        <f t="shared" si="76"/>
        <v>0</v>
      </c>
      <c r="P101" s="217">
        <f t="shared" si="77"/>
        <v>0</v>
      </c>
      <c r="Q101" s="217">
        <f t="shared" si="78"/>
        <v>0</v>
      </c>
      <c r="R101" s="217">
        <f t="shared" si="79"/>
        <v>0</v>
      </c>
      <c r="S101" s="242">
        <f t="shared" si="80"/>
        <v>1008</v>
      </c>
      <c r="T101" s="215">
        <f t="shared" si="81"/>
        <v>192</v>
      </c>
      <c r="U101" s="215">
        <f t="shared" si="82"/>
        <v>0</v>
      </c>
      <c r="V101" s="243">
        <f t="shared" si="83"/>
        <v>181</v>
      </c>
      <c r="W101" s="225" t="str">
        <f t="shared" si="65"/>
        <v>Yes</v>
      </c>
      <c r="X101" s="225" t="str">
        <f t="shared" si="66"/>
        <v>No</v>
      </c>
      <c r="Y101" s="225">
        <f>IF(AND('Data Entry'!D$3&gt;=Fermentation!B101,'Data Entry'!D$3&lt;=Fermentation!A101),10,ROUND(Y100*(1+Y$116),0))</f>
        <v>0</v>
      </c>
      <c r="Z101" s="225">
        <f t="shared" si="67"/>
        <v>192</v>
      </c>
      <c r="AA101" s="225">
        <f t="shared" si="68"/>
        <v>0</v>
      </c>
      <c r="AB101" s="225">
        <f t="shared" si="84"/>
        <v>0</v>
      </c>
      <c r="AC101" s="225">
        <f t="shared" si="85"/>
        <v>0</v>
      </c>
      <c r="AD101" s="226">
        <f t="shared" si="69"/>
        <v>0</v>
      </c>
      <c r="AE101" s="225">
        <f t="shared" si="86"/>
        <v>0</v>
      </c>
      <c r="AF101" s="225">
        <f t="shared" si="87"/>
        <v>0</v>
      </c>
      <c r="AG101" s="225">
        <f t="shared" si="88"/>
        <v>0</v>
      </c>
      <c r="AH101" s="225">
        <f t="shared" si="89"/>
        <v>0</v>
      </c>
    </row>
    <row r="102" spans="1:34" x14ac:dyDescent="0.2">
      <c r="A102" s="222">
        <v>252</v>
      </c>
      <c r="B102" s="222">
        <v>229</v>
      </c>
      <c r="C102" s="215">
        <f t="shared" si="70"/>
        <v>1008</v>
      </c>
      <c r="D102" s="215">
        <f t="shared" si="71"/>
        <v>192</v>
      </c>
      <c r="E102" s="215">
        <f t="shared" si="72"/>
        <v>0</v>
      </c>
      <c r="F102" s="215">
        <f t="shared" si="73"/>
        <v>181</v>
      </c>
      <c r="G102" s="217" t="str">
        <f t="shared" si="60"/>
        <v>Yes</v>
      </c>
      <c r="H102" s="217" t="str">
        <f t="shared" si="61"/>
        <v>Yes</v>
      </c>
      <c r="I102" s="217">
        <f>IF(AND('Data Entry'!D$2&gt;=Fermentation!B102,'Data Entry'!D$2&lt;=Fermentation!A102,G102="No",H102="No"),10,ROUND(I101*(1+I$116),0))</f>
        <v>7134343</v>
      </c>
      <c r="J102" s="217">
        <f t="shared" si="62"/>
        <v>181</v>
      </c>
      <c r="K102" s="217">
        <f t="shared" si="63"/>
        <v>0</v>
      </c>
      <c r="L102" s="217">
        <f t="shared" si="74"/>
        <v>0</v>
      </c>
      <c r="M102" s="217">
        <f t="shared" si="75"/>
        <v>0</v>
      </c>
      <c r="N102" s="218">
        <f t="shared" si="64"/>
        <v>0</v>
      </c>
      <c r="O102" s="217">
        <f t="shared" si="76"/>
        <v>0</v>
      </c>
      <c r="P102" s="217">
        <f t="shared" si="77"/>
        <v>0</v>
      </c>
      <c r="Q102" s="217">
        <f t="shared" si="78"/>
        <v>0</v>
      </c>
      <c r="R102" s="217">
        <f t="shared" si="79"/>
        <v>0</v>
      </c>
      <c r="S102" s="242">
        <f t="shared" si="80"/>
        <v>1008</v>
      </c>
      <c r="T102" s="215">
        <f t="shared" si="81"/>
        <v>192</v>
      </c>
      <c r="U102" s="215">
        <f t="shared" si="82"/>
        <v>0</v>
      </c>
      <c r="V102" s="243">
        <f t="shared" si="83"/>
        <v>181</v>
      </c>
      <c r="W102" s="225" t="str">
        <f t="shared" si="65"/>
        <v>Yes</v>
      </c>
      <c r="X102" s="225" t="str">
        <f t="shared" si="66"/>
        <v>No</v>
      </c>
      <c r="Y102" s="225">
        <f>IF(AND('Data Entry'!D$3&gt;=Fermentation!B102,'Data Entry'!D$3&lt;=Fermentation!A102),10,ROUND(Y101*(1+Y$116),0))</f>
        <v>0</v>
      </c>
      <c r="Z102" s="225">
        <f t="shared" si="67"/>
        <v>192</v>
      </c>
      <c r="AA102" s="225">
        <f t="shared" si="68"/>
        <v>0</v>
      </c>
      <c r="AB102" s="225">
        <f t="shared" si="84"/>
        <v>0</v>
      </c>
      <c r="AC102" s="225">
        <f t="shared" si="85"/>
        <v>0</v>
      </c>
      <c r="AD102" s="226">
        <f t="shared" si="69"/>
        <v>0</v>
      </c>
      <c r="AE102" s="225">
        <f t="shared" si="86"/>
        <v>0</v>
      </c>
      <c r="AF102" s="225">
        <f t="shared" si="87"/>
        <v>0</v>
      </c>
      <c r="AG102" s="225">
        <f t="shared" si="88"/>
        <v>0</v>
      </c>
      <c r="AH102" s="225">
        <f t="shared" si="89"/>
        <v>0</v>
      </c>
    </row>
    <row r="103" spans="1:34" x14ac:dyDescent="0.2">
      <c r="A103" s="222">
        <v>228</v>
      </c>
      <c r="B103" s="222">
        <v>205</v>
      </c>
      <c r="C103" s="215">
        <f t="shared" si="70"/>
        <v>1008</v>
      </c>
      <c r="D103" s="215">
        <f t="shared" si="71"/>
        <v>192</v>
      </c>
      <c r="E103" s="215">
        <f t="shared" si="72"/>
        <v>0</v>
      </c>
      <c r="F103" s="215">
        <f t="shared" si="73"/>
        <v>181</v>
      </c>
      <c r="G103" s="217" t="str">
        <f t="shared" si="60"/>
        <v>Yes</v>
      </c>
      <c r="H103" s="217" t="str">
        <f t="shared" si="61"/>
        <v>Yes</v>
      </c>
      <c r="I103" s="217">
        <f>IF(AND('Data Entry'!D$2&gt;=Fermentation!B103,'Data Entry'!D$2&lt;=Fermentation!A103,G103="No",H103="No"),10,ROUND(I102*(1+I$116),0))</f>
        <v>9988080</v>
      </c>
      <c r="J103" s="217">
        <f t="shared" si="62"/>
        <v>181</v>
      </c>
      <c r="K103" s="217">
        <f t="shared" si="63"/>
        <v>0</v>
      </c>
      <c r="L103" s="217">
        <f t="shared" si="74"/>
        <v>0</v>
      </c>
      <c r="M103" s="217">
        <f t="shared" si="75"/>
        <v>0</v>
      </c>
      <c r="N103" s="218">
        <f t="shared" si="64"/>
        <v>0</v>
      </c>
      <c r="O103" s="217">
        <f t="shared" si="76"/>
        <v>0</v>
      </c>
      <c r="P103" s="217">
        <f t="shared" si="77"/>
        <v>0</v>
      </c>
      <c r="Q103" s="217">
        <f t="shared" si="78"/>
        <v>0</v>
      </c>
      <c r="R103" s="217">
        <f t="shared" si="79"/>
        <v>0</v>
      </c>
      <c r="S103" s="242">
        <f t="shared" si="80"/>
        <v>1008</v>
      </c>
      <c r="T103" s="215">
        <f t="shared" si="81"/>
        <v>192</v>
      </c>
      <c r="U103" s="215">
        <f t="shared" si="82"/>
        <v>0</v>
      </c>
      <c r="V103" s="243">
        <f t="shared" si="83"/>
        <v>181</v>
      </c>
      <c r="W103" s="225" t="str">
        <f t="shared" si="65"/>
        <v>Yes</v>
      </c>
      <c r="X103" s="225" t="str">
        <f t="shared" si="66"/>
        <v>No</v>
      </c>
      <c r="Y103" s="225">
        <f>IF(AND('Data Entry'!D$3&gt;=Fermentation!B103,'Data Entry'!D$3&lt;=Fermentation!A103),10,ROUND(Y102*(1+Y$116),0))</f>
        <v>0</v>
      </c>
      <c r="Z103" s="225">
        <f t="shared" si="67"/>
        <v>192</v>
      </c>
      <c r="AA103" s="225">
        <f t="shared" si="68"/>
        <v>0</v>
      </c>
      <c r="AB103" s="225">
        <f t="shared" si="84"/>
        <v>0</v>
      </c>
      <c r="AC103" s="225">
        <f t="shared" si="85"/>
        <v>0</v>
      </c>
      <c r="AD103" s="226">
        <f t="shared" si="69"/>
        <v>0</v>
      </c>
      <c r="AE103" s="225">
        <f t="shared" si="86"/>
        <v>0</v>
      </c>
      <c r="AF103" s="225">
        <f t="shared" si="87"/>
        <v>0</v>
      </c>
      <c r="AG103" s="225">
        <f t="shared" si="88"/>
        <v>0</v>
      </c>
      <c r="AH103" s="225">
        <f t="shared" si="89"/>
        <v>0</v>
      </c>
    </row>
    <row r="104" spans="1:34" x14ac:dyDescent="0.2">
      <c r="A104" s="222">
        <v>204</v>
      </c>
      <c r="B104" s="222">
        <v>181</v>
      </c>
      <c r="C104" s="215">
        <f t="shared" si="70"/>
        <v>1008</v>
      </c>
      <c r="D104" s="215">
        <f t="shared" si="71"/>
        <v>192</v>
      </c>
      <c r="E104" s="215">
        <f t="shared" si="72"/>
        <v>0</v>
      </c>
      <c r="F104" s="215">
        <f t="shared" si="73"/>
        <v>181</v>
      </c>
      <c r="G104" s="217" t="str">
        <f t="shared" si="60"/>
        <v>Yes</v>
      </c>
      <c r="H104" s="217" t="str">
        <f t="shared" si="61"/>
        <v>Yes</v>
      </c>
      <c r="I104" s="217">
        <f>IF(AND('Data Entry'!D$2&gt;=Fermentation!B104,'Data Entry'!D$2&lt;=Fermentation!A104,G104="No",H104="No"),10,ROUND(I103*(1+I$116),0))</f>
        <v>13983312</v>
      </c>
      <c r="J104" s="217">
        <f t="shared" si="62"/>
        <v>181</v>
      </c>
      <c r="K104" s="217">
        <f t="shared" si="63"/>
        <v>0</v>
      </c>
      <c r="L104" s="217">
        <f t="shared" si="74"/>
        <v>0</v>
      </c>
      <c r="M104" s="217">
        <f t="shared" si="75"/>
        <v>0</v>
      </c>
      <c r="N104" s="218">
        <f t="shared" si="64"/>
        <v>0</v>
      </c>
      <c r="O104" s="217">
        <f t="shared" si="76"/>
        <v>0</v>
      </c>
      <c r="P104" s="217">
        <f t="shared" si="77"/>
        <v>0</v>
      </c>
      <c r="Q104" s="217">
        <f t="shared" si="78"/>
        <v>0</v>
      </c>
      <c r="R104" s="217">
        <f t="shared" si="79"/>
        <v>0</v>
      </c>
      <c r="S104" s="242">
        <f t="shared" si="80"/>
        <v>1008</v>
      </c>
      <c r="T104" s="215">
        <f t="shared" si="81"/>
        <v>192</v>
      </c>
      <c r="U104" s="215">
        <f t="shared" si="82"/>
        <v>0</v>
      </c>
      <c r="V104" s="243">
        <f t="shared" si="83"/>
        <v>181</v>
      </c>
      <c r="W104" s="225" t="str">
        <f t="shared" si="65"/>
        <v>Yes</v>
      </c>
      <c r="X104" s="225" t="str">
        <f t="shared" si="66"/>
        <v>No</v>
      </c>
      <c r="Y104" s="225">
        <f>IF(AND('Data Entry'!D$3&gt;=Fermentation!B104,'Data Entry'!D$3&lt;=Fermentation!A104),10,ROUND(Y103*(1+Y$116),0))</f>
        <v>0</v>
      </c>
      <c r="Z104" s="225">
        <f t="shared" si="67"/>
        <v>192</v>
      </c>
      <c r="AA104" s="225">
        <f t="shared" si="68"/>
        <v>0</v>
      </c>
      <c r="AB104" s="225">
        <f t="shared" si="84"/>
        <v>0</v>
      </c>
      <c r="AC104" s="225">
        <f t="shared" si="85"/>
        <v>0</v>
      </c>
      <c r="AD104" s="226">
        <f t="shared" si="69"/>
        <v>0</v>
      </c>
      <c r="AE104" s="225">
        <f t="shared" si="86"/>
        <v>0</v>
      </c>
      <c r="AF104" s="225">
        <f t="shared" si="87"/>
        <v>0</v>
      </c>
      <c r="AG104" s="225">
        <f t="shared" si="88"/>
        <v>0</v>
      </c>
      <c r="AH104" s="225">
        <f t="shared" si="89"/>
        <v>0</v>
      </c>
    </row>
    <row r="105" spans="1:34" x14ac:dyDescent="0.2">
      <c r="A105" s="222">
        <v>180</v>
      </c>
      <c r="B105" s="222">
        <v>157</v>
      </c>
      <c r="C105" s="215">
        <f t="shared" si="70"/>
        <v>1008</v>
      </c>
      <c r="D105" s="215">
        <f t="shared" si="71"/>
        <v>192</v>
      </c>
      <c r="E105" s="215">
        <f t="shared" si="72"/>
        <v>0</v>
      </c>
      <c r="F105" s="215">
        <f t="shared" si="73"/>
        <v>181</v>
      </c>
      <c r="G105" s="217" t="str">
        <f t="shared" si="60"/>
        <v>Yes</v>
      </c>
      <c r="H105" s="217" t="str">
        <f t="shared" si="61"/>
        <v>Yes</v>
      </c>
      <c r="I105" s="217">
        <f>IF(AND('Data Entry'!D$2&gt;=Fermentation!B105,'Data Entry'!D$2&lt;=Fermentation!A105,G105="No",H105="No"),10,ROUND(I104*(1+I$116),0))</f>
        <v>19576637</v>
      </c>
      <c r="J105" s="217">
        <f t="shared" si="62"/>
        <v>181</v>
      </c>
      <c r="K105" s="217">
        <f t="shared" si="63"/>
        <v>0</v>
      </c>
      <c r="L105" s="217">
        <f t="shared" si="74"/>
        <v>0</v>
      </c>
      <c r="M105" s="217">
        <f t="shared" si="75"/>
        <v>0</v>
      </c>
      <c r="N105" s="218">
        <f t="shared" si="64"/>
        <v>0</v>
      </c>
      <c r="O105" s="217">
        <f t="shared" si="76"/>
        <v>0</v>
      </c>
      <c r="P105" s="217">
        <f t="shared" si="77"/>
        <v>0</v>
      </c>
      <c r="Q105" s="217">
        <f t="shared" si="78"/>
        <v>0</v>
      </c>
      <c r="R105" s="217">
        <f t="shared" si="79"/>
        <v>0</v>
      </c>
      <c r="S105" s="242">
        <f t="shared" si="80"/>
        <v>1008</v>
      </c>
      <c r="T105" s="215">
        <f t="shared" si="81"/>
        <v>192</v>
      </c>
      <c r="U105" s="215">
        <f t="shared" si="82"/>
        <v>0</v>
      </c>
      <c r="V105" s="243">
        <f t="shared" si="83"/>
        <v>181</v>
      </c>
      <c r="W105" s="225" t="str">
        <f t="shared" si="65"/>
        <v>Yes</v>
      </c>
      <c r="X105" s="225" t="str">
        <f t="shared" si="66"/>
        <v>No</v>
      </c>
      <c r="Y105" s="225">
        <f>IF(AND('Data Entry'!D$3&gt;=Fermentation!B105,'Data Entry'!D$3&lt;=Fermentation!A105),10,ROUND(Y104*(1+Y$116),0))</f>
        <v>0</v>
      </c>
      <c r="Z105" s="225">
        <f t="shared" si="67"/>
        <v>192</v>
      </c>
      <c r="AA105" s="225">
        <f t="shared" si="68"/>
        <v>0</v>
      </c>
      <c r="AB105" s="225">
        <f t="shared" si="84"/>
        <v>0</v>
      </c>
      <c r="AC105" s="225">
        <f t="shared" si="85"/>
        <v>0</v>
      </c>
      <c r="AD105" s="226">
        <f t="shared" si="69"/>
        <v>0</v>
      </c>
      <c r="AE105" s="225">
        <f t="shared" si="86"/>
        <v>0</v>
      </c>
      <c r="AF105" s="225">
        <f t="shared" si="87"/>
        <v>0</v>
      </c>
      <c r="AG105" s="225">
        <f t="shared" si="88"/>
        <v>0</v>
      </c>
      <c r="AH105" s="225">
        <f t="shared" si="89"/>
        <v>0</v>
      </c>
    </row>
    <row r="106" spans="1:34" x14ac:dyDescent="0.2">
      <c r="A106" s="222">
        <v>156</v>
      </c>
      <c r="B106" s="222">
        <v>133</v>
      </c>
      <c r="C106" s="215">
        <f t="shared" si="70"/>
        <v>1008</v>
      </c>
      <c r="D106" s="215">
        <f t="shared" si="71"/>
        <v>192</v>
      </c>
      <c r="E106" s="215">
        <f t="shared" si="72"/>
        <v>0</v>
      </c>
      <c r="F106" s="215">
        <f t="shared" si="73"/>
        <v>181</v>
      </c>
      <c r="G106" s="217" t="str">
        <f t="shared" si="60"/>
        <v>Yes</v>
      </c>
      <c r="H106" s="217" t="str">
        <f t="shared" si="61"/>
        <v>Yes</v>
      </c>
      <c r="I106" s="217">
        <f>IF(AND('Data Entry'!D$2&gt;=Fermentation!B106,'Data Entry'!D$2&lt;=Fermentation!A106,G106="No",H106="No"),10,ROUND(I105*(1+I$116),0))</f>
        <v>27407292</v>
      </c>
      <c r="J106" s="217">
        <f t="shared" si="62"/>
        <v>181</v>
      </c>
      <c r="K106" s="217">
        <f t="shared" si="63"/>
        <v>0</v>
      </c>
      <c r="L106" s="217">
        <f t="shared" si="74"/>
        <v>0</v>
      </c>
      <c r="M106" s="217">
        <f t="shared" si="75"/>
        <v>0</v>
      </c>
      <c r="N106" s="218">
        <f t="shared" si="64"/>
        <v>0</v>
      </c>
      <c r="O106" s="217">
        <f t="shared" si="76"/>
        <v>0</v>
      </c>
      <c r="P106" s="217">
        <f t="shared" si="77"/>
        <v>0</v>
      </c>
      <c r="Q106" s="217">
        <f t="shared" si="78"/>
        <v>0</v>
      </c>
      <c r="R106" s="217">
        <f t="shared" si="79"/>
        <v>0</v>
      </c>
      <c r="S106" s="242">
        <f t="shared" si="80"/>
        <v>1008</v>
      </c>
      <c r="T106" s="215">
        <f t="shared" si="81"/>
        <v>192</v>
      </c>
      <c r="U106" s="215">
        <f t="shared" si="82"/>
        <v>0</v>
      </c>
      <c r="V106" s="243">
        <f t="shared" si="83"/>
        <v>181</v>
      </c>
      <c r="W106" s="225" t="str">
        <f t="shared" si="65"/>
        <v>Yes</v>
      </c>
      <c r="X106" s="225" t="str">
        <f t="shared" si="66"/>
        <v>No</v>
      </c>
      <c r="Y106" s="225">
        <f>IF(AND('Data Entry'!D$3&gt;=Fermentation!B106,'Data Entry'!D$3&lt;=Fermentation!A106),10,ROUND(Y105*(1+Y$116),0))</f>
        <v>0</v>
      </c>
      <c r="Z106" s="225">
        <f t="shared" si="67"/>
        <v>192</v>
      </c>
      <c r="AA106" s="225">
        <f t="shared" si="68"/>
        <v>0</v>
      </c>
      <c r="AB106" s="225">
        <f t="shared" si="84"/>
        <v>0</v>
      </c>
      <c r="AC106" s="225">
        <f t="shared" si="85"/>
        <v>0</v>
      </c>
      <c r="AD106" s="226">
        <f t="shared" si="69"/>
        <v>0</v>
      </c>
      <c r="AE106" s="225">
        <f t="shared" si="86"/>
        <v>0</v>
      </c>
      <c r="AF106" s="225">
        <f t="shared" si="87"/>
        <v>0</v>
      </c>
      <c r="AG106" s="225">
        <f t="shared" si="88"/>
        <v>0</v>
      </c>
      <c r="AH106" s="225">
        <f t="shared" si="89"/>
        <v>0</v>
      </c>
    </row>
    <row r="107" spans="1:34" x14ac:dyDescent="0.2">
      <c r="A107" s="222">
        <v>132</v>
      </c>
      <c r="B107" s="222">
        <v>109</v>
      </c>
      <c r="C107" s="215">
        <f t="shared" si="70"/>
        <v>1008</v>
      </c>
      <c r="D107" s="215">
        <f t="shared" si="71"/>
        <v>192</v>
      </c>
      <c r="E107" s="215">
        <f t="shared" si="72"/>
        <v>0</v>
      </c>
      <c r="F107" s="215">
        <f t="shared" si="73"/>
        <v>181</v>
      </c>
      <c r="G107" s="217" t="str">
        <f t="shared" si="60"/>
        <v>Yes</v>
      </c>
      <c r="H107" s="217" t="str">
        <f t="shared" si="61"/>
        <v>Yes</v>
      </c>
      <c r="I107" s="217">
        <f>IF(AND('Data Entry'!D$2&gt;=Fermentation!B107,'Data Entry'!D$2&lt;=Fermentation!A107,G107="No",H107="No"),10,ROUND(I106*(1+I$116),0))</f>
        <v>38370209</v>
      </c>
      <c r="J107" s="217">
        <f t="shared" si="62"/>
        <v>181</v>
      </c>
      <c r="K107" s="217">
        <f t="shared" si="63"/>
        <v>0</v>
      </c>
      <c r="L107" s="217">
        <f t="shared" si="74"/>
        <v>0</v>
      </c>
      <c r="M107" s="217">
        <f t="shared" si="75"/>
        <v>0</v>
      </c>
      <c r="N107" s="218">
        <f t="shared" si="64"/>
        <v>0</v>
      </c>
      <c r="O107" s="217">
        <f t="shared" si="76"/>
        <v>0</v>
      </c>
      <c r="P107" s="217">
        <f t="shared" si="77"/>
        <v>0</v>
      </c>
      <c r="Q107" s="217">
        <f t="shared" si="78"/>
        <v>0</v>
      </c>
      <c r="R107" s="217">
        <f t="shared" si="79"/>
        <v>0</v>
      </c>
      <c r="S107" s="242">
        <f t="shared" si="80"/>
        <v>1008</v>
      </c>
      <c r="T107" s="215">
        <f t="shared" si="81"/>
        <v>192</v>
      </c>
      <c r="U107" s="215">
        <f t="shared" si="82"/>
        <v>0</v>
      </c>
      <c r="V107" s="243">
        <f t="shared" si="83"/>
        <v>181</v>
      </c>
      <c r="W107" s="225" t="str">
        <f t="shared" si="65"/>
        <v>Yes</v>
      </c>
      <c r="X107" s="225" t="str">
        <f t="shared" si="66"/>
        <v>No</v>
      </c>
      <c r="Y107" s="225">
        <f>IF(AND('Data Entry'!D$3&gt;=Fermentation!B107,'Data Entry'!D$3&lt;=Fermentation!A107),10,ROUND(Y106*(1+Y$116),0))</f>
        <v>0</v>
      </c>
      <c r="Z107" s="225">
        <f t="shared" si="67"/>
        <v>192</v>
      </c>
      <c r="AA107" s="225">
        <f t="shared" si="68"/>
        <v>0</v>
      </c>
      <c r="AB107" s="225">
        <f t="shared" si="84"/>
        <v>0</v>
      </c>
      <c r="AC107" s="225">
        <f t="shared" si="85"/>
        <v>0</v>
      </c>
      <c r="AD107" s="226">
        <f t="shared" si="69"/>
        <v>0</v>
      </c>
      <c r="AE107" s="225">
        <f t="shared" si="86"/>
        <v>0</v>
      </c>
      <c r="AF107" s="225">
        <f t="shared" si="87"/>
        <v>0</v>
      </c>
      <c r="AG107" s="225">
        <f t="shared" si="88"/>
        <v>0</v>
      </c>
      <c r="AH107" s="225">
        <f t="shared" si="89"/>
        <v>0</v>
      </c>
    </row>
    <row r="108" spans="1:34" x14ac:dyDescent="0.2">
      <c r="A108" s="222">
        <v>108</v>
      </c>
      <c r="B108" s="222">
        <v>85</v>
      </c>
      <c r="C108" s="215">
        <f t="shared" si="70"/>
        <v>1008</v>
      </c>
      <c r="D108" s="215">
        <f t="shared" si="71"/>
        <v>192</v>
      </c>
      <c r="E108" s="215">
        <f t="shared" si="72"/>
        <v>0</v>
      </c>
      <c r="F108" s="215">
        <f t="shared" si="73"/>
        <v>181</v>
      </c>
      <c r="G108" s="217" t="str">
        <f t="shared" si="60"/>
        <v>Yes</v>
      </c>
      <c r="H108" s="217" t="str">
        <f t="shared" ref="H108:H112" si="90">IF(F108&lt;I$122,"Yes","No")</f>
        <v>Yes</v>
      </c>
      <c r="I108" s="217">
        <f>IF(AND('Data Entry'!D$2&gt;=Fermentation!B108,'Data Entry'!D$2&lt;=Fermentation!A108,G108="No",H108="No"),10,ROUND(I107*(1+I$116),0))</f>
        <v>53718293</v>
      </c>
      <c r="J108" s="217">
        <f t="shared" ref="J108:J112" si="91">IF(D108-I$119&lt;0,0,D108-I$119)</f>
        <v>181</v>
      </c>
      <c r="K108" s="217">
        <f t="shared" si="63"/>
        <v>0</v>
      </c>
      <c r="L108" s="217">
        <f t="shared" si="74"/>
        <v>0</v>
      </c>
      <c r="M108" s="217">
        <f t="shared" si="75"/>
        <v>0</v>
      </c>
      <c r="N108" s="218">
        <f t="shared" ref="N108:N112" si="92">IF(I$117=0,0,ROUNDDOWN((L108+M108)/I$117,0))</f>
        <v>0</v>
      </c>
      <c r="O108" s="217">
        <f t="shared" si="76"/>
        <v>0</v>
      </c>
      <c r="P108" s="217">
        <f t="shared" si="77"/>
        <v>0</v>
      </c>
      <c r="Q108" s="217">
        <f t="shared" si="78"/>
        <v>0</v>
      </c>
      <c r="R108" s="217">
        <f t="shared" si="79"/>
        <v>0</v>
      </c>
      <c r="S108" s="242">
        <f t="shared" si="80"/>
        <v>1008</v>
      </c>
      <c r="T108" s="215">
        <f t="shared" si="81"/>
        <v>192</v>
      </c>
      <c r="U108" s="215">
        <f t="shared" si="82"/>
        <v>0</v>
      </c>
      <c r="V108" s="243">
        <f t="shared" si="83"/>
        <v>181</v>
      </c>
      <c r="W108" s="225" t="str">
        <f t="shared" si="65"/>
        <v>Yes</v>
      </c>
      <c r="X108" s="225" t="str">
        <f t="shared" ref="X108:X112" si="93">IF(V108&lt;Y$122,"Yes","No")</f>
        <v>No</v>
      </c>
      <c r="Y108" s="225">
        <f>IF(AND('Data Entry'!D$3&gt;=Fermentation!B108,'Data Entry'!D$3&lt;=Fermentation!A108),10,ROUND(Y107*(1+Y$116),0))</f>
        <v>0</v>
      </c>
      <c r="Z108" s="225">
        <f t="shared" ref="Z108:Z112" si="94">IF(T108-Y$119&lt;0,0,T108-Y$119)</f>
        <v>192</v>
      </c>
      <c r="AA108" s="225">
        <f t="shared" si="68"/>
        <v>0</v>
      </c>
      <c r="AB108" s="225">
        <f t="shared" si="84"/>
        <v>0</v>
      </c>
      <c r="AC108" s="225">
        <f t="shared" si="85"/>
        <v>0</v>
      </c>
      <c r="AD108" s="226">
        <f t="shared" ref="AD108:AD112" si="95">IF(Y$117=0,0,ROUNDDOWN((AB108+AC108)/Y$117,0))</f>
        <v>0</v>
      </c>
      <c r="AE108" s="225">
        <f t="shared" si="86"/>
        <v>0</v>
      </c>
      <c r="AF108" s="225">
        <f t="shared" si="87"/>
        <v>0</v>
      </c>
      <c r="AG108" s="225">
        <f t="shared" si="88"/>
        <v>0</v>
      </c>
      <c r="AH108" s="225">
        <f t="shared" si="89"/>
        <v>0</v>
      </c>
    </row>
    <row r="109" spans="1:34" x14ac:dyDescent="0.2">
      <c r="A109" s="222">
        <v>84</v>
      </c>
      <c r="B109" s="222">
        <v>61</v>
      </c>
      <c r="C109" s="215">
        <f t="shared" si="70"/>
        <v>1008</v>
      </c>
      <c r="D109" s="215">
        <f t="shared" si="71"/>
        <v>192</v>
      </c>
      <c r="E109" s="215">
        <f t="shared" si="72"/>
        <v>0</v>
      </c>
      <c r="F109" s="215">
        <f t="shared" si="73"/>
        <v>181</v>
      </c>
      <c r="G109" s="217" t="str">
        <f t="shared" si="60"/>
        <v>Yes</v>
      </c>
      <c r="H109" s="217" t="str">
        <f t="shared" si="90"/>
        <v>Yes</v>
      </c>
      <c r="I109" s="217">
        <f>IF(AND('Data Entry'!D$2&gt;=Fermentation!B109,'Data Entry'!D$2&lt;=Fermentation!A109,G109="No",H109="No"),10,ROUND(I108*(1+I$116),0))</f>
        <v>75205610</v>
      </c>
      <c r="J109" s="217">
        <f t="shared" si="91"/>
        <v>181</v>
      </c>
      <c r="K109" s="217">
        <f t="shared" si="63"/>
        <v>0</v>
      </c>
      <c r="L109" s="217">
        <f t="shared" si="74"/>
        <v>0</v>
      </c>
      <c r="M109" s="217">
        <f t="shared" si="75"/>
        <v>0</v>
      </c>
      <c r="N109" s="218">
        <f t="shared" si="92"/>
        <v>0</v>
      </c>
      <c r="O109" s="217">
        <f t="shared" si="76"/>
        <v>0</v>
      </c>
      <c r="P109" s="217">
        <f t="shared" si="77"/>
        <v>0</v>
      </c>
      <c r="Q109" s="217">
        <f t="shared" si="78"/>
        <v>0</v>
      </c>
      <c r="R109" s="217">
        <f t="shared" si="79"/>
        <v>0</v>
      </c>
      <c r="S109" s="242">
        <f t="shared" si="80"/>
        <v>1008</v>
      </c>
      <c r="T109" s="215">
        <f t="shared" si="81"/>
        <v>192</v>
      </c>
      <c r="U109" s="215">
        <f t="shared" si="82"/>
        <v>0</v>
      </c>
      <c r="V109" s="243">
        <f t="shared" si="83"/>
        <v>181</v>
      </c>
      <c r="W109" s="225" t="str">
        <f t="shared" si="65"/>
        <v>Yes</v>
      </c>
      <c r="X109" s="225" t="str">
        <f t="shared" si="93"/>
        <v>No</v>
      </c>
      <c r="Y109" s="225">
        <f>IF(AND('Data Entry'!D$3&gt;=Fermentation!B109,'Data Entry'!D$3&lt;=Fermentation!A109),10,ROUND(Y108*(1+Y$116),0))</f>
        <v>0</v>
      </c>
      <c r="Z109" s="225">
        <f t="shared" si="94"/>
        <v>192</v>
      </c>
      <c r="AA109" s="225">
        <f t="shared" si="68"/>
        <v>0</v>
      </c>
      <c r="AB109" s="225">
        <f t="shared" si="84"/>
        <v>0</v>
      </c>
      <c r="AC109" s="225">
        <f t="shared" si="85"/>
        <v>0</v>
      </c>
      <c r="AD109" s="226">
        <f t="shared" si="95"/>
        <v>0</v>
      </c>
      <c r="AE109" s="225">
        <f t="shared" si="86"/>
        <v>0</v>
      </c>
      <c r="AF109" s="225">
        <f t="shared" si="87"/>
        <v>0</v>
      </c>
      <c r="AG109" s="225">
        <f t="shared" si="88"/>
        <v>0</v>
      </c>
      <c r="AH109" s="225">
        <f t="shared" si="89"/>
        <v>0</v>
      </c>
    </row>
    <row r="110" spans="1:34" x14ac:dyDescent="0.2">
      <c r="A110" s="222">
        <v>60</v>
      </c>
      <c r="B110" s="222">
        <v>37</v>
      </c>
      <c r="C110" s="215">
        <f t="shared" si="70"/>
        <v>1008</v>
      </c>
      <c r="D110" s="215">
        <f t="shared" si="71"/>
        <v>192</v>
      </c>
      <c r="E110" s="215">
        <f t="shared" si="72"/>
        <v>0</v>
      </c>
      <c r="F110" s="215">
        <f t="shared" si="73"/>
        <v>181</v>
      </c>
      <c r="G110" s="217" t="str">
        <f t="shared" si="60"/>
        <v>Yes</v>
      </c>
      <c r="H110" s="217" t="str">
        <f t="shared" si="90"/>
        <v>Yes</v>
      </c>
      <c r="I110" s="217">
        <f>IF(AND('Data Entry'!D$2&gt;=Fermentation!B110,'Data Entry'!D$2&lt;=Fermentation!A110,G110="No",H110="No"),10,ROUND(I109*(1+I$116),0))</f>
        <v>105287854</v>
      </c>
      <c r="J110" s="217">
        <f t="shared" si="91"/>
        <v>181</v>
      </c>
      <c r="K110" s="217">
        <f t="shared" si="63"/>
        <v>0</v>
      </c>
      <c r="L110" s="217">
        <f t="shared" si="74"/>
        <v>0</v>
      </c>
      <c r="M110" s="217">
        <f t="shared" si="75"/>
        <v>0</v>
      </c>
      <c r="N110" s="218">
        <f t="shared" si="92"/>
        <v>0</v>
      </c>
      <c r="O110" s="217">
        <f t="shared" si="76"/>
        <v>0</v>
      </c>
      <c r="P110" s="217">
        <f t="shared" si="77"/>
        <v>0</v>
      </c>
      <c r="Q110" s="217">
        <f t="shared" si="78"/>
        <v>0</v>
      </c>
      <c r="R110" s="217">
        <f t="shared" si="79"/>
        <v>0</v>
      </c>
      <c r="S110" s="242">
        <f t="shared" si="80"/>
        <v>1008</v>
      </c>
      <c r="T110" s="215">
        <f t="shared" si="81"/>
        <v>192</v>
      </c>
      <c r="U110" s="215">
        <f t="shared" si="82"/>
        <v>0</v>
      </c>
      <c r="V110" s="243">
        <f t="shared" si="83"/>
        <v>181</v>
      </c>
      <c r="W110" s="225" t="str">
        <f t="shared" si="65"/>
        <v>Yes</v>
      </c>
      <c r="X110" s="225" t="str">
        <f t="shared" si="93"/>
        <v>No</v>
      </c>
      <c r="Y110" s="225">
        <f>IF(AND('Data Entry'!D$3&gt;=Fermentation!B110,'Data Entry'!D$3&lt;=Fermentation!A110),10,ROUND(Y109*(1+Y$116),0))</f>
        <v>0</v>
      </c>
      <c r="Z110" s="225">
        <f t="shared" si="94"/>
        <v>192</v>
      </c>
      <c r="AA110" s="225">
        <f t="shared" si="68"/>
        <v>0</v>
      </c>
      <c r="AB110" s="225">
        <f t="shared" si="84"/>
        <v>0</v>
      </c>
      <c r="AC110" s="225">
        <f t="shared" si="85"/>
        <v>0</v>
      </c>
      <c r="AD110" s="226">
        <f t="shared" si="95"/>
        <v>0</v>
      </c>
      <c r="AE110" s="225">
        <f t="shared" si="86"/>
        <v>0</v>
      </c>
      <c r="AF110" s="225">
        <f t="shared" si="87"/>
        <v>0</v>
      </c>
      <c r="AG110" s="225">
        <f t="shared" si="88"/>
        <v>0</v>
      </c>
      <c r="AH110" s="225">
        <f t="shared" si="89"/>
        <v>0</v>
      </c>
    </row>
    <row r="111" spans="1:34" x14ac:dyDescent="0.2">
      <c r="A111" s="222">
        <v>36</v>
      </c>
      <c r="B111" s="222">
        <v>13</v>
      </c>
      <c r="C111" s="215">
        <f t="shared" si="70"/>
        <v>1008</v>
      </c>
      <c r="D111" s="215">
        <f t="shared" si="71"/>
        <v>192</v>
      </c>
      <c r="E111" s="215">
        <f t="shared" si="72"/>
        <v>0</v>
      </c>
      <c r="F111" s="215">
        <f t="shared" si="73"/>
        <v>181</v>
      </c>
      <c r="G111" s="217" t="str">
        <f t="shared" si="60"/>
        <v>Yes</v>
      </c>
      <c r="H111" s="217" t="str">
        <f t="shared" si="90"/>
        <v>Yes</v>
      </c>
      <c r="I111" s="217">
        <f>IF(AND('Data Entry'!D$2&gt;=Fermentation!B111,'Data Entry'!D$2&lt;=Fermentation!A111,G111="No",H111="No"),10,ROUND(I110*(1+I$116),0))</f>
        <v>147402996</v>
      </c>
      <c r="J111" s="217">
        <f t="shared" si="91"/>
        <v>181</v>
      </c>
      <c r="K111" s="217">
        <f t="shared" si="63"/>
        <v>0</v>
      </c>
      <c r="L111" s="217">
        <f t="shared" si="74"/>
        <v>0</v>
      </c>
      <c r="M111" s="217">
        <f t="shared" si="75"/>
        <v>0</v>
      </c>
      <c r="N111" s="218">
        <f t="shared" si="92"/>
        <v>0</v>
      </c>
      <c r="O111" s="217">
        <f t="shared" si="76"/>
        <v>0</v>
      </c>
      <c r="P111" s="217">
        <f t="shared" si="77"/>
        <v>0</v>
      </c>
      <c r="Q111" s="217">
        <f t="shared" si="78"/>
        <v>0</v>
      </c>
      <c r="R111" s="217">
        <f t="shared" si="79"/>
        <v>0</v>
      </c>
      <c r="S111" s="242">
        <f t="shared" si="80"/>
        <v>1008</v>
      </c>
      <c r="T111" s="215">
        <f t="shared" si="81"/>
        <v>192</v>
      </c>
      <c r="U111" s="215">
        <f t="shared" si="82"/>
        <v>0</v>
      </c>
      <c r="V111" s="243">
        <f t="shared" si="83"/>
        <v>181</v>
      </c>
      <c r="W111" s="225" t="str">
        <f t="shared" si="65"/>
        <v>Yes</v>
      </c>
      <c r="X111" s="225" t="str">
        <f t="shared" si="93"/>
        <v>No</v>
      </c>
      <c r="Y111" s="225">
        <f>IF(AND('Data Entry'!D$3&gt;=Fermentation!B111,'Data Entry'!D$3&lt;=Fermentation!A111),10,ROUND(Y110*(1+Y$116),0))</f>
        <v>0</v>
      </c>
      <c r="Z111" s="225">
        <f t="shared" si="94"/>
        <v>192</v>
      </c>
      <c r="AA111" s="225">
        <f t="shared" si="68"/>
        <v>0</v>
      </c>
      <c r="AB111" s="225">
        <f t="shared" si="84"/>
        <v>0</v>
      </c>
      <c r="AC111" s="225">
        <f t="shared" si="85"/>
        <v>0</v>
      </c>
      <c r="AD111" s="226">
        <f t="shared" si="95"/>
        <v>0</v>
      </c>
      <c r="AE111" s="225">
        <f t="shared" si="86"/>
        <v>0</v>
      </c>
      <c r="AF111" s="225">
        <f t="shared" si="87"/>
        <v>0</v>
      </c>
      <c r="AG111" s="225">
        <f t="shared" si="88"/>
        <v>0</v>
      </c>
      <c r="AH111" s="225">
        <f t="shared" si="89"/>
        <v>0</v>
      </c>
    </row>
    <row r="112" spans="1:34" x14ac:dyDescent="0.2">
      <c r="A112" s="223">
        <v>12</v>
      </c>
      <c r="B112" s="223">
        <v>1</v>
      </c>
      <c r="C112" s="232">
        <f t="shared" si="70"/>
        <v>1008</v>
      </c>
      <c r="D112" s="232">
        <f t="shared" si="71"/>
        <v>192</v>
      </c>
      <c r="E112" s="232">
        <f t="shared" si="72"/>
        <v>0</v>
      </c>
      <c r="F112" s="232">
        <f t="shared" si="73"/>
        <v>181</v>
      </c>
      <c r="G112" s="219" t="str">
        <f t="shared" si="60"/>
        <v>Yes</v>
      </c>
      <c r="H112" s="219" t="str">
        <f t="shared" si="90"/>
        <v>Yes</v>
      </c>
      <c r="I112" s="219">
        <f>IF(AND('Data Entry'!D$2&gt;=Fermentation!B112,'Data Entry'!D$2&lt;=Fermentation!A112,G112="No",H112="No"),10,ROUND(I111*(1+I$116),0))</f>
        <v>206364194</v>
      </c>
      <c r="J112" s="219">
        <f t="shared" si="91"/>
        <v>181</v>
      </c>
      <c r="K112" s="219">
        <f t="shared" si="63"/>
        <v>0</v>
      </c>
      <c r="L112" s="219">
        <f t="shared" si="74"/>
        <v>0</v>
      </c>
      <c r="M112" s="219">
        <f t="shared" si="75"/>
        <v>0</v>
      </c>
      <c r="N112" s="220">
        <f t="shared" si="92"/>
        <v>0</v>
      </c>
      <c r="O112" s="219">
        <f t="shared" si="76"/>
        <v>0</v>
      </c>
      <c r="P112" s="219">
        <f t="shared" si="77"/>
        <v>0</v>
      </c>
      <c r="Q112" s="219">
        <f t="shared" si="78"/>
        <v>0</v>
      </c>
      <c r="R112" s="219">
        <f t="shared" si="79"/>
        <v>0</v>
      </c>
      <c r="S112" s="244">
        <f t="shared" si="80"/>
        <v>1008</v>
      </c>
      <c r="T112" s="232">
        <f t="shared" si="81"/>
        <v>192</v>
      </c>
      <c r="U112" s="232">
        <f t="shared" si="82"/>
        <v>0</v>
      </c>
      <c r="V112" s="245">
        <f t="shared" si="83"/>
        <v>181</v>
      </c>
      <c r="W112" s="227" t="str">
        <f t="shared" si="65"/>
        <v>Yes</v>
      </c>
      <c r="X112" s="227" t="str">
        <f t="shared" si="93"/>
        <v>No</v>
      </c>
      <c r="Y112" s="227">
        <f>IF(AND('Data Entry'!D$3&gt;=Fermentation!B112,'Data Entry'!D$3&lt;=Fermentation!A112),10,ROUND(Y111*(1+Y$116),0))</f>
        <v>0</v>
      </c>
      <c r="Z112" s="227">
        <f t="shared" si="94"/>
        <v>192</v>
      </c>
      <c r="AA112" s="227">
        <f t="shared" si="68"/>
        <v>0</v>
      </c>
      <c r="AB112" s="227">
        <f t="shared" si="84"/>
        <v>0</v>
      </c>
      <c r="AC112" s="227">
        <f t="shared" si="85"/>
        <v>0</v>
      </c>
      <c r="AD112" s="228">
        <f t="shared" si="95"/>
        <v>0</v>
      </c>
      <c r="AE112" s="227">
        <f t="shared" si="86"/>
        <v>0</v>
      </c>
      <c r="AF112" s="227">
        <f t="shared" si="87"/>
        <v>0</v>
      </c>
      <c r="AG112" s="227">
        <f t="shared" si="88"/>
        <v>0</v>
      </c>
      <c r="AH112" s="227">
        <f t="shared" si="89"/>
        <v>0</v>
      </c>
    </row>
    <row r="113" spans="1:25" x14ac:dyDescent="0.2">
      <c r="A113" s="287" t="s">
        <v>209</v>
      </c>
      <c r="B113" s="288"/>
      <c r="C113" s="232">
        <f t="shared" ref="C113" si="96">S112+AE112</f>
        <v>1008</v>
      </c>
      <c r="D113" s="232">
        <f t="shared" ref="D113" si="97">T112-AB112</f>
        <v>192</v>
      </c>
      <c r="E113" s="232">
        <f t="shared" ref="E113" si="98">U112-AC112</f>
        <v>0</v>
      </c>
      <c r="F113" s="232">
        <f t="shared" ref="F113" si="99">V112-AD112</f>
        <v>181</v>
      </c>
      <c r="G113" s="2"/>
      <c r="H113" s="107"/>
      <c r="I113" s="2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</row>
    <row r="114" spans="1:25" x14ac:dyDescent="0.2">
      <c r="A114" s="2"/>
      <c r="B114" s="2"/>
      <c r="C114" s="2"/>
      <c r="D114" s="2"/>
      <c r="E114" s="2"/>
      <c r="F114" s="2"/>
      <c r="G114" s="2"/>
      <c r="H114" s="107"/>
      <c r="I114" s="2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</row>
    <row r="115" spans="1:25" x14ac:dyDescent="0.2">
      <c r="A115" s="2"/>
      <c r="B115" s="2"/>
      <c r="C115" s="2"/>
      <c r="D115" s="2"/>
      <c r="E115" s="2"/>
      <c r="F115" s="2"/>
      <c r="G115" s="2"/>
      <c r="H115" s="107"/>
      <c r="I115" s="2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</row>
    <row r="116" spans="1:25" x14ac:dyDescent="0.2">
      <c r="G116" s="2" t="s">
        <v>132</v>
      </c>
      <c r="I116" s="151">
        <f>INDEX('Microbe Data'!$A$4:$Z$63,MATCH($G$7,'Microbe Data'!$A$4:$A$63,0),4)</f>
        <v>0.4</v>
      </c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2" t="s">
        <v>132</v>
      </c>
      <c r="Y116" s="151">
        <f>INDEX('Microbe Data'!$A$4:$Z$63,MATCH($W$7,'Microbe Data'!$A$4:$A$63,0),4)</f>
        <v>0</v>
      </c>
    </row>
    <row r="117" spans="1:25" x14ac:dyDescent="0.2">
      <c r="G117" s="2" t="s">
        <v>103</v>
      </c>
      <c r="I117" s="152">
        <f>INDEX('Microbe Data'!$A$4:$Z$63,MATCH($G$7,'Microbe Data'!$A$4:$A$63,0),7)</f>
        <v>8</v>
      </c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2" t="s">
        <v>103</v>
      </c>
      <c r="Y117" s="152">
        <f>INDEX('Microbe Data'!$A$4:$Z$63,MATCH($W$7,'Microbe Data'!$A$4:$A$63,0),7)</f>
        <v>0</v>
      </c>
    </row>
    <row r="118" spans="1:25" x14ac:dyDescent="0.2">
      <c r="I118" s="210"/>
    </row>
    <row r="119" spans="1:25" x14ac:dyDescent="0.2">
      <c r="G119" s="211" t="s">
        <v>47</v>
      </c>
      <c r="I119" s="152">
        <f>INDEX('Microbe Data'!$A$4:$Z$63,MATCH($G$7,'Microbe Data'!$A$4:$A$63,0),5)</f>
        <v>11</v>
      </c>
      <c r="W119" s="211" t="s">
        <v>47</v>
      </c>
      <c r="Y119" s="152">
        <f>INDEX('Microbe Data'!$A$4:$Z$63,MATCH($W$7,'Microbe Data'!$A$4:$A$63,0),5)</f>
        <v>0</v>
      </c>
    </row>
    <row r="120" spans="1:25" x14ac:dyDescent="0.2">
      <c r="G120" s="2" t="s">
        <v>48</v>
      </c>
      <c r="I120" s="152">
        <f>INDEX('Microbe Data'!$A$4:$Z$63,MATCH($G$7,'Microbe Data'!$A$4:$A$63,0),6)</f>
        <v>212</v>
      </c>
      <c r="W120" s="2" t="s">
        <v>48</v>
      </c>
      <c r="Y120" s="152">
        <f>INDEX('Microbe Data'!$A$4:$Z$63,MATCH($W$7,'Microbe Data'!$A$4:$A$63,0),6)</f>
        <v>0</v>
      </c>
    </row>
    <row r="121" spans="1:25" x14ac:dyDescent="0.2">
      <c r="I121" s="210"/>
    </row>
    <row r="122" spans="1:25" x14ac:dyDescent="0.2">
      <c r="G122" s="211" t="s">
        <v>109</v>
      </c>
      <c r="I122" s="152">
        <f>INDEX('Microbe Data'!$A$4:$Z$63,MATCH($G$7,'Microbe Data'!$A$4:$A$63,0),8)</f>
        <v>214</v>
      </c>
      <c r="W122" s="211" t="s">
        <v>109</v>
      </c>
      <c r="Y122" s="152">
        <f>INDEX('Microbe Data'!$A$4:$Z$63,MATCH($W$7,'Microbe Data'!$A$4:$A$63,0),8)</f>
        <v>0</v>
      </c>
    </row>
    <row r="123" spans="1:25" x14ac:dyDescent="0.2">
      <c r="I123" s="210"/>
    </row>
    <row r="124" spans="1:25" x14ac:dyDescent="0.2">
      <c r="G124" s="211" t="s">
        <v>203</v>
      </c>
      <c r="I124" s="152">
        <f>INDEX('Microbe Data'!$A$4:$Z$63,MATCH($G$7,'Microbe Data'!$A$4:$A$63,0),3)</f>
        <v>714</v>
      </c>
      <c r="W124" s="229" t="s">
        <v>203</v>
      </c>
      <c r="Y124" s="152">
        <f>INDEX('Microbe Data'!$A$4:$Z$63,MATCH($W$7,'Microbe Data'!$A$4:$A$63,0),3)</f>
        <v>0</v>
      </c>
    </row>
    <row r="125" spans="1:25" x14ac:dyDescent="0.2">
      <c r="I125" s="210"/>
    </row>
    <row r="126" spans="1:25" x14ac:dyDescent="0.2">
      <c r="G126" t="s">
        <v>183</v>
      </c>
      <c r="I126" s="210">
        <v>1</v>
      </c>
      <c r="W126" s="211" t="s">
        <v>183</v>
      </c>
      <c r="Y126" s="210">
        <v>11</v>
      </c>
    </row>
    <row r="127" spans="1:25" x14ac:dyDescent="0.2">
      <c r="E127" s="211"/>
      <c r="F127" s="211"/>
      <c r="G127" s="211"/>
      <c r="H127" s="211"/>
      <c r="I127" s="211"/>
      <c r="J127" s="211"/>
      <c r="K127" s="211"/>
    </row>
    <row r="128" spans="1:25" x14ac:dyDescent="0.2">
      <c r="E128" s="211"/>
      <c r="F128" s="211"/>
      <c r="G128" s="211"/>
      <c r="H128" s="211"/>
      <c r="I128" s="211"/>
      <c r="J128" s="211"/>
      <c r="K128" s="211"/>
    </row>
    <row r="129" spans="3:25" x14ac:dyDescent="0.2">
      <c r="E129" s="211"/>
      <c r="F129" s="211"/>
      <c r="G129" s="211"/>
      <c r="H129" s="211"/>
      <c r="I129" s="211"/>
      <c r="J129" s="211"/>
      <c r="K129" s="211"/>
    </row>
    <row r="130" spans="3:25" x14ac:dyDescent="0.2">
      <c r="E130" s="211"/>
      <c r="F130" s="211"/>
      <c r="G130" s="211"/>
      <c r="H130" s="211"/>
      <c r="I130" s="211"/>
      <c r="J130" s="211"/>
      <c r="K130" s="211"/>
    </row>
    <row r="131" spans="3:25" x14ac:dyDescent="0.2">
      <c r="E131" s="211"/>
      <c r="F131" s="211"/>
      <c r="G131" s="211" t="s">
        <v>192</v>
      </c>
      <c r="H131" s="211"/>
      <c r="I131" s="211">
        <f>SUM(P12:P112)</f>
        <v>0</v>
      </c>
      <c r="J131" s="211"/>
      <c r="K131" s="211"/>
      <c r="W131" s="211" t="s">
        <v>192</v>
      </c>
      <c r="X131" s="211"/>
      <c r="Y131" s="211">
        <f>SUM(AF12:AF112)</f>
        <v>0</v>
      </c>
    </row>
    <row r="132" spans="3:25" x14ac:dyDescent="0.2">
      <c r="E132" s="211"/>
      <c r="F132" s="211"/>
      <c r="G132" s="211" t="s">
        <v>193</v>
      </c>
      <c r="H132" s="211"/>
      <c r="I132" s="211">
        <f>SUM(Q12:Q112)</f>
        <v>0</v>
      </c>
      <c r="J132" s="211"/>
      <c r="K132" s="211"/>
      <c r="W132" s="211" t="s">
        <v>193</v>
      </c>
      <c r="X132" s="211"/>
      <c r="Y132" s="211">
        <f>SUM(AG12:AG112)</f>
        <v>0</v>
      </c>
    </row>
    <row r="133" spans="3:25" x14ac:dyDescent="0.2">
      <c r="E133" s="211"/>
      <c r="F133" s="211"/>
      <c r="G133" s="229" t="s">
        <v>194</v>
      </c>
      <c r="H133" s="211"/>
      <c r="I133" s="211">
        <f>SUM(R12:R112)</f>
        <v>0</v>
      </c>
      <c r="J133" s="211"/>
      <c r="K133" s="211"/>
      <c r="W133" s="229" t="s">
        <v>194</v>
      </c>
      <c r="X133" s="211"/>
      <c r="Y133" s="211">
        <f>SUM(AH12:AH112)</f>
        <v>0</v>
      </c>
    </row>
    <row r="134" spans="3:25" x14ac:dyDescent="0.2">
      <c r="E134" s="211"/>
      <c r="F134" s="211"/>
      <c r="G134" s="211" t="s">
        <v>195</v>
      </c>
      <c r="H134" s="211"/>
      <c r="I134" s="211">
        <f>SUM(O12:O112)</f>
        <v>1008</v>
      </c>
      <c r="J134" s="211"/>
      <c r="K134" s="211"/>
      <c r="W134" s="211" t="s">
        <v>195</v>
      </c>
      <c r="X134" s="211"/>
      <c r="Y134" s="211">
        <f>SUM(AE12:AE112)</f>
        <v>0</v>
      </c>
    </row>
    <row r="135" spans="3:25" x14ac:dyDescent="0.2">
      <c r="E135" s="211"/>
      <c r="F135" s="211"/>
      <c r="G135" s="211"/>
      <c r="H135" s="211"/>
      <c r="I135" s="211"/>
      <c r="J135" s="211"/>
      <c r="K135" s="211"/>
      <c r="W135" s="211"/>
      <c r="X135" s="211"/>
      <c r="Y135" s="211"/>
    </row>
    <row r="136" spans="3:25" x14ac:dyDescent="0.2">
      <c r="C136" s="211" t="s">
        <v>206</v>
      </c>
      <c r="E136" s="239">
        <f>'Data Entry'!C33</f>
        <v>0</v>
      </c>
      <c r="F136" s="211"/>
      <c r="G136" s="211" t="s">
        <v>18</v>
      </c>
      <c r="H136" s="230">
        <f>INDEX('Microbe Data'!$A$4:$Z$63,MATCH($G$7,'Microbe Data'!$A$4:$A$63,0),9)</f>
        <v>6.2E-2</v>
      </c>
      <c r="I136" s="211">
        <f t="shared" ref="I136:I144" si="100">ROUND(H136*I$134*E$136,0)</f>
        <v>0</v>
      </c>
      <c r="J136" s="211"/>
      <c r="K136" s="211"/>
      <c r="W136" s="211" t="s">
        <v>18</v>
      </c>
      <c r="X136" s="230">
        <f>INDEX('Microbe Data'!$A$4:$Z$63,MATCH($W$7,'Microbe Data'!$A$4:$A$63,0),9)</f>
        <v>0</v>
      </c>
      <c r="Y136" s="211">
        <f t="shared" ref="Y136:Y144" si="101">ROUND(X136*Y$134*E$136,0)</f>
        <v>0</v>
      </c>
    </row>
    <row r="137" spans="3:25" x14ac:dyDescent="0.2">
      <c r="E137" s="239"/>
      <c r="F137" s="211"/>
      <c r="G137" s="211" t="s">
        <v>19</v>
      </c>
      <c r="H137" s="230">
        <f>INDEX('Microbe Data'!$A$4:$Z$63,MATCH($G$7,'Microbe Data'!$A$4:$A$63,0),10)</f>
        <v>1.8800000000000001E-2</v>
      </c>
      <c r="I137" s="211">
        <f t="shared" si="100"/>
        <v>0</v>
      </c>
      <c r="J137" s="211"/>
      <c r="K137" s="211"/>
      <c r="W137" s="211" t="s">
        <v>19</v>
      </c>
      <c r="X137" s="230">
        <f>INDEX('Microbe Data'!$A$4:$Z$63,MATCH($W$7,'Microbe Data'!$A$4:$A$63,0),10)</f>
        <v>0</v>
      </c>
      <c r="Y137" s="211">
        <f t="shared" si="101"/>
        <v>0</v>
      </c>
    </row>
    <row r="138" spans="3:25" x14ac:dyDescent="0.2">
      <c r="E138" s="239"/>
      <c r="F138" s="211"/>
      <c r="G138" s="211" t="s">
        <v>20</v>
      </c>
      <c r="H138" s="230">
        <f>INDEX('Microbe Data'!$A$4:$Z$63,MATCH($G$7,'Microbe Data'!$A$4:$A$63,0),11)</f>
        <v>1.6500000000000001E-2</v>
      </c>
      <c r="I138" s="211">
        <f t="shared" si="100"/>
        <v>0</v>
      </c>
      <c r="J138" s="211"/>
      <c r="K138" s="211"/>
      <c r="W138" s="211" t="s">
        <v>20</v>
      </c>
      <c r="X138" s="230">
        <f>INDEX('Microbe Data'!$A$4:$Z$63,MATCH($W$7,'Microbe Data'!$A$4:$A$63,0),11)</f>
        <v>0</v>
      </c>
      <c r="Y138" s="211">
        <f t="shared" si="101"/>
        <v>0</v>
      </c>
    </row>
    <row r="139" spans="3:25" x14ac:dyDescent="0.2">
      <c r="E139" s="239"/>
      <c r="F139" s="211"/>
      <c r="G139" s="211" t="s">
        <v>21</v>
      </c>
      <c r="H139" s="230">
        <f>INDEX('Microbe Data'!$A$4:$Z$63,MATCH($G$7,'Microbe Data'!$A$4:$A$63,0),12)</f>
        <v>1.8800000000000001E-2</v>
      </c>
      <c r="I139" s="211">
        <f t="shared" si="100"/>
        <v>0</v>
      </c>
      <c r="J139" s="211"/>
      <c r="K139" s="211"/>
      <c r="W139" s="211" t="s">
        <v>21</v>
      </c>
      <c r="X139" s="230">
        <f>INDEX('Microbe Data'!$A$4:$Z$63,MATCH($W$7,'Microbe Data'!$A$4:$A$63,0),12)</f>
        <v>0</v>
      </c>
      <c r="Y139" s="211">
        <f t="shared" si="101"/>
        <v>0</v>
      </c>
    </row>
    <row r="140" spans="3:25" x14ac:dyDescent="0.2">
      <c r="E140" s="239"/>
      <c r="F140" s="211"/>
      <c r="G140" s="211" t="s">
        <v>4</v>
      </c>
      <c r="H140" s="230">
        <f>INDEX('Microbe Data'!$A$4:$Z$63,MATCH($G$7,'Microbe Data'!$A$4:$A$63,0),13)</f>
        <v>1.7899999999999999E-2</v>
      </c>
      <c r="I140" s="211">
        <f t="shared" si="100"/>
        <v>0</v>
      </c>
      <c r="J140" s="211"/>
      <c r="K140" s="211"/>
      <c r="W140" s="211" t="s">
        <v>4</v>
      </c>
      <c r="X140" s="230">
        <f>INDEX('Microbe Data'!$A$4:$Z$63,MATCH($W$7,'Microbe Data'!$A$4:$A$63,0),13)</f>
        <v>0</v>
      </c>
      <c r="Y140" s="211">
        <f t="shared" si="101"/>
        <v>0</v>
      </c>
    </row>
    <row r="141" spans="3:25" x14ac:dyDescent="0.2">
      <c r="E141" s="239"/>
      <c r="F141" s="211"/>
      <c r="G141" s="211" t="s">
        <v>22</v>
      </c>
      <c r="H141" s="230">
        <f>INDEX('Microbe Data'!$A$4:$Z$63,MATCH($G$7,'Microbe Data'!$A$4:$A$63,0),14)</f>
        <v>2.1499999999999998E-2</v>
      </c>
      <c r="I141" s="211">
        <f t="shared" si="100"/>
        <v>0</v>
      </c>
      <c r="J141" s="211"/>
      <c r="K141" s="211"/>
      <c r="W141" s="211" t="s">
        <v>22</v>
      </c>
      <c r="X141" s="230">
        <f>INDEX('Microbe Data'!$A$4:$Z$63,MATCH($W$7,'Microbe Data'!$A$4:$A$63,0),14)</f>
        <v>0</v>
      </c>
      <c r="Y141" s="211">
        <f t="shared" si="101"/>
        <v>0</v>
      </c>
    </row>
    <row r="142" spans="3:25" x14ac:dyDescent="0.2">
      <c r="E142" s="239"/>
      <c r="F142" s="211"/>
      <c r="G142" s="211" t="s">
        <v>23</v>
      </c>
      <c r="H142" s="230">
        <f>INDEX('Microbe Data'!$A$4:$Z$63,MATCH($G$7,'Microbe Data'!$A$4:$A$63,0),15)</f>
        <v>1.2E-2</v>
      </c>
      <c r="I142" s="211">
        <f t="shared" si="100"/>
        <v>0</v>
      </c>
      <c r="J142" s="211"/>
      <c r="K142" s="211"/>
      <c r="W142" s="211" t="s">
        <v>23</v>
      </c>
      <c r="X142" s="230">
        <f>INDEX('Microbe Data'!$A$4:$Z$63,MATCH($W$7,'Microbe Data'!$A$4:$A$63,0),15)</f>
        <v>0</v>
      </c>
      <c r="Y142" s="211">
        <f t="shared" si="101"/>
        <v>0</v>
      </c>
    </row>
    <row r="143" spans="3:25" x14ac:dyDescent="0.2">
      <c r="E143" s="239"/>
      <c r="F143" s="211"/>
      <c r="G143" s="211" t="s">
        <v>24</v>
      </c>
      <c r="H143" s="230">
        <f>INDEX('Microbe Data'!$A$4:$Z$63,MATCH($G$7,'Microbe Data'!$A$4:$A$63,0),16)</f>
        <v>1.4800000000000001E-2</v>
      </c>
      <c r="I143" s="211">
        <f t="shared" si="100"/>
        <v>0</v>
      </c>
      <c r="J143" s="211"/>
      <c r="K143" s="211"/>
      <c r="W143" s="211" t="s">
        <v>24</v>
      </c>
      <c r="X143" s="230">
        <f>INDEX('Microbe Data'!$A$4:$Z$63,MATCH($W$7,'Microbe Data'!$A$4:$A$63,0),16)</f>
        <v>0</v>
      </c>
      <c r="Y143" s="211">
        <f t="shared" si="101"/>
        <v>0</v>
      </c>
    </row>
    <row r="144" spans="3:25" x14ac:dyDescent="0.2">
      <c r="E144" s="239"/>
      <c r="F144" s="211"/>
      <c r="G144" s="211" t="s">
        <v>25</v>
      </c>
      <c r="H144" s="230">
        <f>INDEX('Microbe Data'!$A$4:$Z$63,MATCH($G$7,'Microbe Data'!$A$4:$A$63,0),17)</f>
        <v>4.8599999999999997E-2</v>
      </c>
      <c r="I144" s="211">
        <f t="shared" si="100"/>
        <v>0</v>
      </c>
      <c r="J144" s="211"/>
      <c r="K144" s="211"/>
      <c r="W144" s="211" t="s">
        <v>25</v>
      </c>
      <c r="X144" s="230">
        <f>INDEX('Microbe Data'!$A$4:$Z$63,MATCH($W$7,'Microbe Data'!$A$4:$A$63,0),17)</f>
        <v>0</v>
      </c>
      <c r="Y144" s="211">
        <f t="shared" si="101"/>
        <v>0</v>
      </c>
    </row>
    <row r="145" spans="3:25" x14ac:dyDescent="0.2">
      <c r="C145" s="211" t="s">
        <v>207</v>
      </c>
      <c r="E145" s="239">
        <f>'Data Entry'!C34</f>
        <v>0</v>
      </c>
      <c r="F145" s="211"/>
      <c r="G145" s="211" t="s">
        <v>55</v>
      </c>
      <c r="H145" s="230">
        <f>INDEX('Microbe Data'!$A$4:$Z$63,MATCH($G$7,'Microbe Data'!$A$4:$A$63,0),18)</f>
        <v>4.07E-2</v>
      </c>
      <c r="I145" s="211">
        <f t="shared" ref="I145:I153" si="102">ROUND(H145*I$134*E$145,0)</f>
        <v>0</v>
      </c>
      <c r="J145" s="211"/>
      <c r="K145" s="211"/>
      <c r="W145" s="211" t="s">
        <v>55</v>
      </c>
      <c r="X145" s="230">
        <f>INDEX('Microbe Data'!$A$4:$Z$63,MATCH($W$7,'Microbe Data'!$A$4:$A$63,0),18)</f>
        <v>0</v>
      </c>
      <c r="Y145" s="211">
        <f t="shared" ref="Y145:Y153" si="103">ROUND(X145*Y$134*E$145,0)</f>
        <v>0</v>
      </c>
    </row>
    <row r="146" spans="3:25" x14ac:dyDescent="0.2">
      <c r="E146" s="211"/>
      <c r="F146" s="211"/>
      <c r="G146" s="211" t="s">
        <v>56</v>
      </c>
      <c r="H146" s="230">
        <f>INDEX('Microbe Data'!$A$4:$Z$63,MATCH($G$7,'Microbe Data'!$A$4:$A$63,0),19)</f>
        <v>3.3700000000000001E-2</v>
      </c>
      <c r="I146" s="211">
        <f t="shared" si="102"/>
        <v>0</v>
      </c>
      <c r="J146" s="211"/>
      <c r="K146" s="211"/>
      <c r="W146" s="211" t="s">
        <v>56</v>
      </c>
      <c r="X146" s="230">
        <f>INDEX('Microbe Data'!$A$4:$Z$63,MATCH($W$7,'Microbe Data'!$A$4:$A$63,0),19)</f>
        <v>0</v>
      </c>
      <c r="Y146" s="211">
        <f t="shared" si="103"/>
        <v>0</v>
      </c>
    </row>
    <row r="147" spans="3:25" x14ac:dyDescent="0.2">
      <c r="E147" s="211"/>
      <c r="F147" s="211"/>
      <c r="G147" s="211" t="s">
        <v>57</v>
      </c>
      <c r="H147" s="230">
        <f>INDEX('Microbe Data'!$A$4:$Z$63,MATCH($G$7,'Microbe Data'!$A$4:$A$63,0),20)</f>
        <v>2.0799999999999999E-2</v>
      </c>
      <c r="I147" s="211">
        <f t="shared" si="102"/>
        <v>0</v>
      </c>
      <c r="J147" s="211"/>
      <c r="K147" s="211"/>
      <c r="W147" s="211" t="s">
        <v>57</v>
      </c>
      <c r="X147" s="230">
        <f>INDEX('Microbe Data'!$A$4:$Z$63,MATCH($W$7,'Microbe Data'!$A$4:$A$63,0),20)</f>
        <v>0</v>
      </c>
      <c r="Y147" s="211">
        <f t="shared" si="103"/>
        <v>0</v>
      </c>
    </row>
    <row r="148" spans="3:25" x14ac:dyDescent="0.2">
      <c r="E148" s="211"/>
      <c r="F148" s="211"/>
      <c r="G148" s="211" t="s">
        <v>58</v>
      </c>
      <c r="H148" s="230">
        <f>INDEX('Microbe Data'!$A$4:$Z$63,MATCH($G$7,'Microbe Data'!$A$4:$A$63,0),21)</f>
        <v>7.1400000000000005E-2</v>
      </c>
      <c r="I148" s="211">
        <f t="shared" si="102"/>
        <v>0</v>
      </c>
      <c r="J148" s="211"/>
      <c r="K148" s="211"/>
      <c r="W148" s="211" t="s">
        <v>58</v>
      </c>
      <c r="X148" s="230">
        <f>INDEX('Microbe Data'!$A$4:$Z$63,MATCH($W$7,'Microbe Data'!$A$4:$A$63,0),21)</f>
        <v>0</v>
      </c>
      <c r="Y148" s="211">
        <f t="shared" si="103"/>
        <v>0</v>
      </c>
    </row>
    <row r="149" spans="3:25" x14ac:dyDescent="0.2">
      <c r="E149" s="211"/>
      <c r="F149" s="211"/>
      <c r="G149" s="211" t="s">
        <v>59</v>
      </c>
      <c r="H149" s="230">
        <f>INDEX('Microbe Data'!$A$4:$Z$63,MATCH($G$7,'Microbe Data'!$A$4:$A$63,0),22)</f>
        <v>1.3899999999999999E-2</v>
      </c>
      <c r="I149" s="211">
        <f t="shared" si="102"/>
        <v>0</v>
      </c>
      <c r="J149" s="211"/>
      <c r="K149" s="211"/>
      <c r="W149" s="211" t="s">
        <v>59</v>
      </c>
      <c r="X149" s="230">
        <f>INDEX('Microbe Data'!$A$4:$Z$63,MATCH($W$7,'Microbe Data'!$A$4:$A$63,0),22)</f>
        <v>0</v>
      </c>
      <c r="Y149" s="211">
        <f t="shared" si="103"/>
        <v>0</v>
      </c>
    </row>
    <row r="150" spans="3:25" x14ac:dyDescent="0.2">
      <c r="E150" s="211"/>
      <c r="F150" s="211"/>
      <c r="G150" s="211" t="s">
        <v>60</v>
      </c>
      <c r="H150" s="230">
        <f>INDEX('Microbe Data'!$A$4:$Z$63,MATCH($G$7,'Microbe Data'!$A$4:$A$63,0),23)</f>
        <v>9.2299999999999993E-2</v>
      </c>
      <c r="I150" s="211">
        <f t="shared" si="102"/>
        <v>0</v>
      </c>
      <c r="J150" s="211"/>
      <c r="K150" s="211"/>
      <c r="W150" s="211" t="s">
        <v>60</v>
      </c>
      <c r="X150" s="230">
        <f>INDEX('Microbe Data'!$A$4:$Z$63,MATCH($W$7,'Microbe Data'!$A$4:$A$63,0),23)</f>
        <v>0</v>
      </c>
      <c r="Y150" s="211">
        <f t="shared" si="103"/>
        <v>0</v>
      </c>
    </row>
    <row r="151" spans="3:25" x14ac:dyDescent="0.2">
      <c r="E151" s="211"/>
      <c r="F151" s="211"/>
      <c r="G151" s="211" t="s">
        <v>61</v>
      </c>
      <c r="H151" s="230">
        <f>INDEX('Microbe Data'!$A$4:$Z$63,MATCH($G$7,'Microbe Data'!$A$4:$A$63,0),24)</f>
        <v>1.1900000000000001E-2</v>
      </c>
      <c r="I151" s="211">
        <f t="shared" si="102"/>
        <v>0</v>
      </c>
      <c r="J151" s="211"/>
      <c r="K151" s="211"/>
      <c r="W151" s="211" t="s">
        <v>61</v>
      </c>
      <c r="X151" s="230">
        <f>INDEX('Microbe Data'!$A$4:$Z$63,MATCH($W$7,'Microbe Data'!$A$4:$A$63,0),24)</f>
        <v>0</v>
      </c>
      <c r="Y151" s="211">
        <f t="shared" si="103"/>
        <v>0</v>
      </c>
    </row>
    <row r="152" spans="3:25" x14ac:dyDescent="0.2">
      <c r="E152" s="211"/>
      <c r="F152" s="211"/>
      <c r="G152" s="211" t="s">
        <v>62</v>
      </c>
      <c r="H152" s="230">
        <f>INDEX('Microbe Data'!$A$4:$Z$63,MATCH($G$7,'Microbe Data'!$A$4:$A$63,0),25)</f>
        <v>0.252</v>
      </c>
      <c r="I152" s="211">
        <f t="shared" si="102"/>
        <v>0</v>
      </c>
      <c r="J152" s="211"/>
      <c r="K152" s="211"/>
      <c r="W152" s="211" t="s">
        <v>62</v>
      </c>
      <c r="X152" s="230">
        <f>INDEX('Microbe Data'!$A$4:$Z$63,MATCH($W$7,'Microbe Data'!$A$4:$A$63,0),25)</f>
        <v>0</v>
      </c>
      <c r="Y152" s="211">
        <f t="shared" si="103"/>
        <v>0</v>
      </c>
    </row>
    <row r="153" spans="3:25" x14ac:dyDescent="0.2">
      <c r="E153" s="211"/>
      <c r="F153" s="211"/>
      <c r="G153" s="211" t="s">
        <v>63</v>
      </c>
      <c r="H153" s="230">
        <f>INDEX('Microbe Data'!$A$4:$Z$63,MATCH($G$7,'Microbe Data'!$A$4:$A$63,0),26)</f>
        <v>1.9800000000000002E-2</v>
      </c>
      <c r="I153" s="211">
        <f t="shared" si="102"/>
        <v>0</v>
      </c>
      <c r="J153" s="211"/>
      <c r="K153" s="211"/>
      <c r="W153" s="211" t="s">
        <v>63</v>
      </c>
      <c r="X153" s="230">
        <f>INDEX('Microbe Data'!$A$4:$Z$63,MATCH($W$7,'Microbe Data'!$A$4:$A$63,0),26)</f>
        <v>0</v>
      </c>
      <c r="Y153" s="211">
        <f t="shared" si="103"/>
        <v>0</v>
      </c>
    </row>
    <row r="154" spans="3:25" x14ac:dyDescent="0.2">
      <c r="E154" s="211"/>
      <c r="F154" s="211"/>
      <c r="G154" s="211"/>
      <c r="H154" s="211"/>
      <c r="I154" s="211"/>
      <c r="J154" s="211"/>
      <c r="K154" s="211"/>
    </row>
  </sheetData>
  <mergeCells count="39">
    <mergeCell ref="S7:V8"/>
    <mergeCell ref="S9:S11"/>
    <mergeCell ref="T9:T11"/>
    <mergeCell ref="U9:U11"/>
    <mergeCell ref="V9:V11"/>
    <mergeCell ref="AE9:AE11"/>
    <mergeCell ref="AF9:AF11"/>
    <mergeCell ref="AG9:AG11"/>
    <mergeCell ref="AH9:AH11"/>
    <mergeCell ref="W7:AH8"/>
    <mergeCell ref="Y9:Y11"/>
    <mergeCell ref="AD9:AD11"/>
    <mergeCell ref="Z9:Z11"/>
    <mergeCell ref="AA9:AA11"/>
    <mergeCell ref="AB9:AB11"/>
    <mergeCell ref="AC9:AC11"/>
    <mergeCell ref="W9:W11"/>
    <mergeCell ref="X9:X11"/>
    <mergeCell ref="K9:K11"/>
    <mergeCell ref="L9:L11"/>
    <mergeCell ref="M9:M11"/>
    <mergeCell ref="G9:G11"/>
    <mergeCell ref="H9:H11"/>
    <mergeCell ref="A7:B11"/>
    <mergeCell ref="A113:B113"/>
    <mergeCell ref="A5:AH6"/>
    <mergeCell ref="N9:N11"/>
    <mergeCell ref="D9:D11"/>
    <mergeCell ref="I9:I11"/>
    <mergeCell ref="E9:E11"/>
    <mergeCell ref="F9:F11"/>
    <mergeCell ref="C7:F8"/>
    <mergeCell ref="C9:C11"/>
    <mergeCell ref="G7:R8"/>
    <mergeCell ref="O9:O11"/>
    <mergeCell ref="P9:P11"/>
    <mergeCell ref="Q9:Q11"/>
    <mergeCell ref="R9:R11"/>
    <mergeCell ref="J9:J11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Microbe Data</vt:lpstr>
      <vt:lpstr>Data Entry</vt:lpstr>
      <vt:lpstr>Fermentation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Stelter</dc:creator>
  <cp:lastModifiedBy>Steve</cp:lastModifiedBy>
  <cp:lastPrinted>2010-11-28T03:49:05Z</cp:lastPrinted>
  <dcterms:created xsi:type="dcterms:W3CDTF">2003-06-28T06:03:03Z</dcterms:created>
  <dcterms:modified xsi:type="dcterms:W3CDTF">2011-03-31T01:05:40Z</dcterms:modified>
</cp:coreProperties>
</file>